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Global Frame" sheetId="1" r:id="rId1"/>
    <sheet name="Frames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<sst xmlns="http://schemas.openxmlformats.org/spreadsheetml/2006/main" count="208" uniqueCount="208">
  <si>
    <t>Intersection-points frame</t>
  </si>
  <si>
    <r>
      <rPr>
        <sz val="10"/>
        <rFont val="Arial"/>
        <family val="0"/>
      </rPr>
      <t>All dimentions in mm</t>
    </r>
  </si>
  <si>
    <t>Origin:</t>
  </si>
  <si>
    <t>MD2 Intersection</t>
  </si>
  <si>
    <t>X-Axis</t>
  </si>
  <si>
    <t>Y-Axis:</t>
  </si>
  <si>
    <t>Vertical</t>
  </si>
  <si>
    <t>Z-Axis:</t>
  </si>
  <si>
    <t>MD1 Intersection</t>
  </si>
  <si>
    <t>Intersection-Points Frame</t>
  </si>
  <si>
    <t>Position</t>
  </si>
  <si>
    <t>Element</t>
  </si>
  <si>
    <t>x</t>
  </si>
  <si>
    <t>y</t>
  </si>
  <si>
    <t>z</t>
  </si>
  <si>
    <t>Q1</t>
  </si>
  <si>
    <r>
      <rPr>
        <sz val="10"/>
        <rFont val="Arial"/>
        <family val="0"/>
      </rPr>
      <t>z-def'n corrected</t>
    </r>
  </si>
  <si>
    <t>Q2</t>
  </si>
  <si>
    <r>
      <rPr>
        <sz val="10"/>
        <rFont val="Arial"/>
        <family val="0"/>
      </rPr>
      <t>z-def'n corrected</t>
    </r>
  </si>
  <si>
    <t>MD1</t>
  </si>
  <si>
    <t>Q3</t>
  </si>
  <si>
    <t>Q4</t>
  </si>
  <si>
    <t>Q5</t>
  </si>
  <si>
    <t>Q6</t>
  </si>
  <si>
    <t>Q7</t>
  </si>
  <si>
    <t>MD2</t>
  </si>
  <si>
    <t>Q8</t>
  </si>
  <si>
    <t>Q9</t>
  </si>
  <si>
    <t>Q10</t>
  </si>
  <si>
    <t>Upstream (MD2)</t>
  </si>
  <si>
    <t>rad</t>
  </si>
  <si>
    <t>deg</t>
  </si>
  <si>
    <t>Target-MD1</t>
  </si>
  <si>
    <t>beta</t>
  </si>
  <si>
    <t>MD1-ED1</t>
  </si>
  <si>
    <t>phi</t>
  </si>
  <si>
    <t>Q7</t>
  </si>
  <si>
    <t>ED1-MD2</t>
  </si>
  <si>
    <t>theta</t>
  </si>
  <si>
    <t>MD2-ED2</t>
  </si>
  <si>
    <t>gamma</t>
  </si>
  <si>
    <t>Q6</t>
  </si>
  <si>
    <t>ED2-Detector</t>
  </si>
  <si>
    <t>alpha</t>
  </si>
  <si>
    <t>Q5</t>
  </si>
  <si>
    <t>Q4</t>
  </si>
  <si>
    <t>Q3</t>
  </si>
  <si>
    <t>was 125.9</t>
  </si>
  <si>
    <t>Q2</t>
  </si>
  <si>
    <t>Q1</t>
  </si>
  <si>
    <t>Downstream (MD2)</t>
  </si>
  <si>
    <t>was 65</t>
  </si>
  <si>
    <t>Q8</t>
  </si>
  <si>
    <t>Q9</t>
  </si>
  <si>
    <t>Q10</t>
  </si>
  <si>
    <t>Frames</t>
  </si>
  <si>
    <t>Name</t>
  </si>
  <si>
    <t>Origin</t>
  </si>
  <si>
    <t>Y-Axis</t>
  </si>
  <si>
    <t>X-Axis</t>
  </si>
  <si>
    <t>Z-Axis</t>
  </si>
  <si>
    <t>Handedness</t>
  </si>
  <si>
    <t>normal</t>
  </si>
  <si>
    <t>Total</t>
  </si>
  <si>
    <t>MD2b</t>
  </si>
  <si>
    <t>vertical</t>
  </si>
  <si>
    <t>in direction of MD1b</t>
  </si>
  <si>
    <t>R</t>
  </si>
  <si>
    <t>primed</t>
  </si>
  <si>
    <t>Global</t>
  </si>
  <si>
    <t>MD2 - beam intersection</t>
  </si>
  <si>
    <t>vertical</t>
  </si>
  <si>
    <t>along ED1-MD1 line</t>
  </si>
  <si>
    <t>R</t>
  </si>
  <si>
    <t>double primed</t>
  </si>
  <si>
    <t>Individualized</t>
  </si>
  <si>
    <r>
      <rPr>
        <sz val="10"/>
        <rFont val="Arial"/>
        <family val="0"/>
      </rPr>
      <t>Geometric center of quads
Intersection point of dipoles</t>
    </r>
  </si>
  <si>
    <t>vertical</t>
  </si>
  <si>
    <t>downstream along beam</t>
  </si>
  <si>
    <t>R</t>
  </si>
  <si>
    <t>Component</t>
  </si>
  <si>
    <t>Point</t>
  </si>
  <si>
    <t>Translate</t>
  </si>
  <si>
    <t>Rotate</t>
  </si>
  <si>
    <t>Translate</t>
  </si>
  <si>
    <t>Rotate</t>
  </si>
  <si>
    <t>x</t>
  </si>
  <si>
    <t>y</t>
  </si>
  <si>
    <t>z</t>
  </si>
  <si>
    <t>x'</t>
  </si>
  <si>
    <t>y'</t>
  </si>
  <si>
    <t>z'</t>
  </si>
  <si>
    <t>x''</t>
  </si>
  <si>
    <t>y''</t>
  </si>
  <si>
    <t>z''</t>
  </si>
  <si>
    <t>Q1</t>
  </si>
  <si>
    <t>A</t>
  </si>
  <si>
    <t>net x shift (positive)</t>
  </si>
  <si>
    <t>B</t>
  </si>
  <si>
    <t>C</t>
  </si>
  <si>
    <t>Q2</t>
  </si>
  <si>
    <t>A</t>
  </si>
  <si>
    <t>B</t>
  </si>
  <si>
    <t>C</t>
  </si>
  <si>
    <t>MD1</t>
  </si>
  <si>
    <t>A</t>
  </si>
  <si>
    <t>don't know</t>
  </si>
  <si>
    <t>B</t>
  </si>
  <si>
    <t>C</t>
  </si>
  <si>
    <t>Q3</t>
  </si>
  <si>
    <t>A</t>
  </si>
  <si>
    <t>net y rotation (CW)</t>
  </si>
  <si>
    <t>B</t>
  </si>
  <si>
    <t>net z shift (negative)</t>
  </si>
  <si>
    <t>C</t>
  </si>
  <si>
    <t>net x shift (positive)</t>
  </si>
  <si>
    <t>Q4</t>
  </si>
  <si>
    <t>A</t>
  </si>
  <si>
    <t>B</t>
  </si>
  <si>
    <t>C</t>
  </si>
  <si>
    <t>Q5</t>
  </si>
  <si>
    <t>A</t>
  </si>
  <si>
    <t>B</t>
  </si>
  <si>
    <t>C</t>
  </si>
  <si>
    <t>Q6</t>
  </si>
  <si>
    <t>A</t>
  </si>
  <si>
    <t>net y rotation (CW)</t>
  </si>
  <si>
    <t>B</t>
  </si>
  <si>
    <t>net z shift (positive)</t>
  </si>
  <si>
    <t>C</t>
  </si>
  <si>
    <t>net x shift (negative)</t>
  </si>
  <si>
    <t>Q7</t>
  </si>
  <si>
    <t>A</t>
  </si>
  <si>
    <t>B</t>
  </si>
  <si>
    <t>C</t>
  </si>
  <si>
    <t>MD2</t>
  </si>
  <si>
    <t>A</t>
  </si>
  <si>
    <t>good</t>
  </si>
  <si>
    <t>B</t>
  </si>
  <si>
    <t>C</t>
  </si>
  <si>
    <t>Q8</t>
  </si>
  <si>
    <t>A</t>
  </si>
  <si>
    <t>net x shift (negative)</t>
  </si>
  <si>
    <t>B</t>
  </si>
  <si>
    <t>C</t>
  </si>
  <si>
    <t>Q9</t>
  </si>
  <si>
    <t>A</t>
  </si>
  <si>
    <t>B</t>
  </si>
  <si>
    <t>C</t>
  </si>
  <si>
    <t>Q10</t>
  </si>
  <si>
    <t>A</t>
  </si>
  <si>
    <t>B</t>
  </si>
  <si>
    <t>C</t>
  </si>
  <si>
    <t>Normal -&gt; Primed Rotation</t>
  </si>
  <si>
    <t>Normal -&gt; Primed Shifts</t>
  </si>
  <si>
    <t>Global Frame</t>
  </si>
  <si>
    <t>Position</t>
  </si>
  <si>
    <t>MD1b</t>
  </si>
  <si>
    <t>x</t>
  </si>
  <si>
    <t>y</t>
  </si>
  <si>
    <t>z</t>
  </si>
  <si>
    <t>MD2b</t>
  </si>
  <si>
    <t>x</t>
  </si>
  <si>
    <t>y</t>
  </si>
  <si>
    <t>z</t>
  </si>
  <si>
    <t>Element</t>
  </si>
  <si>
    <t>x</t>
  </si>
  <si>
    <t>y</t>
  </si>
  <si>
    <t>z</t>
  </si>
  <si>
    <t>other*</t>
  </si>
  <si>
    <t>primed</t>
  </si>
  <si>
    <t>Q1</t>
  </si>
  <si>
    <t>primed</t>
  </si>
  <si>
    <t>normal</t>
  </si>
  <si>
    <t>Q2</t>
  </si>
  <si>
    <t>MD1</t>
  </si>
  <si>
    <t>Q3</t>
  </si>
  <si>
    <t>Q4</t>
  </si>
  <si>
    <t>Q5</t>
  </si>
  <si>
    <t>zeta</t>
  </si>
  <si>
    <t>eta</t>
  </si>
  <si>
    <t>Q6</t>
  </si>
  <si>
    <t>u,v</t>
  </si>
  <si>
    <t>Q7</t>
  </si>
  <si>
    <t>MD2</t>
  </si>
  <si>
    <t>Q8</t>
  </si>
  <si>
    <t>Notes:</t>
  </si>
  <si>
    <t>Q9</t>
  </si>
  <si>
    <t>Pink quantities were measured together on May 25</t>
  </si>
  <si>
    <t>then adjusted shamelessly</t>
  </si>
  <si>
    <t>Q10</t>
  </si>
  <si>
    <t>"Other" coordinates, defined so that x axis lies on target-MD1 line</t>
  </si>
  <si>
    <t>Angles are defined by the difference between the local beam axis and the ED1-MD2 line</t>
  </si>
  <si>
    <t>rad</t>
  </si>
  <si>
    <t>Blue data from BB location</t>
  </si>
  <si>
    <t>Target-MD1</t>
  </si>
  <si>
    <t>alpha</t>
  </si>
  <si>
    <t>Green data from CC location</t>
  </si>
  <si>
    <t>MD1-ED1</t>
  </si>
  <si>
    <t>beta</t>
  </si>
  <si>
    <t>Zeta is the angle between the md2-b--md1-b line and the ED1-MD2 line</t>
  </si>
  <si>
    <t>ED1-MD2</t>
  </si>
  <si>
    <t>gamma</t>
  </si>
  <si>
    <r>
      <rPr>
        <sz val="10"/>
        <rFont val="Arial"/>
        <family val="0"/>
      </rPr>
      <t>Orange is location of MD2-B where u,v are perp,parallel to MD2 yoke</t>
    </r>
  </si>
  <si>
    <t>MD2-ED2</t>
  </si>
  <si>
    <t>delta</t>
  </si>
  <si>
    <t>ED2-Detector</t>
  </si>
  <si>
    <t>epsilon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</si>
</sst>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0000000000"/>
    <numFmt numFmtId="166" formatCode="0.00"/>
    <numFmt numFmtId="167" formatCode="0.0000"/>
  </numFmts>
  <fonts count="1"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" xfId="0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0" fillId="0" borderId="6" xfId="0" applyFill="1" applyBorder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6" xfId="0" applyNumberFormat="1" applyBorder="1" applyAlignment="1">
      <alignment/>
    </xf>
    <xf numFmtId="164" fontId="0" fillId="3" borderId="5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6" xfId="0" applyFill="1" applyBorder="1" applyAlignment="1">
      <alignment/>
    </xf>
    <xf numFmtId="164" fontId="0" fillId="4" borderId="5" xfId="0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1" xfId="0" applyFill="1" applyBorder="1" applyAlignment="1">
      <alignment/>
    </xf>
    <xf numFmtId="164" fontId="0" fillId="4" borderId="8" xfId="0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8" xfId="0" applyFill="1" applyBorder="1" applyAlignment="1">
      <alignment/>
    </xf>
    <xf numFmtId="166" fontId="0" fillId="0" borderId="7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8" xfId="0" applyNumberFormat="1" applyBorder="1" applyAlignment="1">
      <alignment/>
    </xf>
    <xf numFmtId="164" fontId="0" fillId="5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6" borderId="0" xfId="0" applyFill="1" applyBorder="1" applyAlignment="1">
      <alignment/>
    </xf>
    <xf numFmtId="164" fontId="0" fillId="7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63">
      <selection activeCell="B71" sqref="B71"/>
    </sheetView>
  </sheetViews>
  <sheetFormatPr defaultColWidth="9.140625" defaultRowHeight="12.75"/>
  <cols>
    <col min="1" max="1" width="9.00390625" style="0" customWidth="1"/>
    <col min="2" max="2" width="19.421875" style="1" customWidth="1"/>
    <col min="3" max="3" width="18.140625" style="1" customWidth="1"/>
    <col min="4" max="4" width="22.8515625" style="1" customWidth="1"/>
    <col min="5" max="5" width="9.00390625" style="0" customWidth="1"/>
    <col min="6" max="6" width="13.140625" style="1" customWidth="1"/>
    <col min="7" max="7" width="9.00390625" style="0" customWidth="1"/>
    <col min="8" max="8" width="19.7109375" style="1" customWidth="1"/>
    <col min="9" max="256" width="9.00390625" style="0" customWidth="1"/>
  </cols>
  <sheetData>
    <row r="1" spans="1:8" ht="13.5">
      <c r="A1" s="1" t="s">
        <v>0</v>
      </c>
      <c r="E1" s="1" t="s">
        <v>1</v>
      </c>
      <c r="F1" s="1"/>
      <c r="H1" s="1"/>
    </row>
    <row r="2" spans="1:8" ht="13.5">
      <c r="A2" s="1" t="s">
        <v>2</v>
      </c>
      <c r="B2" s="1" t="s">
        <v>3</v>
      </c>
      <c r="F2" s="1"/>
      <c r="H2" s="1"/>
    </row>
    <row r="3" spans="1:8" ht="13.5">
      <c r="A3" s="1" t="s">
        <v>4</v>
      </c>
      <c r="F3" s="1"/>
      <c r="H3" s="1"/>
    </row>
    <row r="4" spans="1:8" ht="13.5">
      <c r="A4" s="1" t="s">
        <v>5</v>
      </c>
      <c r="B4" s="1" t="s">
        <v>6</v>
      </c>
      <c r="F4" s="1"/>
      <c r="H4" s="1"/>
    </row>
    <row r="5" spans="1:8" ht="13.5">
      <c r="A5" s="1" t="s">
        <v>7</v>
      </c>
      <c r="B5" s="1" t="s">
        <v>8</v>
      </c>
      <c r="F5" s="1"/>
      <c r="H5" s="1"/>
    </row>
    <row r="6" spans="6:8" ht="13.5">
      <c r="F6" s="1"/>
      <c r="H6" s="1"/>
    </row>
    <row r="7" spans="6:8" ht="13.5">
      <c r="F7" s="1"/>
      <c r="H7" s="1"/>
    </row>
    <row r="8" spans="6:8" ht="13.5">
      <c r="F8" s="1"/>
      <c r="H8" s="1"/>
    </row>
    <row r="9" spans="2:8" ht="13.5">
      <c r="B9" s="1" t="s">
        <v>9</v>
      </c>
      <c r="F9" s="1"/>
      <c r="H9" s="1"/>
    </row>
    <row r="10" spans="2:8" ht="13.5">
      <c r="B10" s="1" t="s">
        <v>10</v>
      </c>
      <c r="F10" s="1"/>
      <c r="H10" s="1"/>
    </row>
    <row r="11" spans="1:8" ht="13.5">
      <c r="A11" s="1" t="s">
        <v>11</v>
      </c>
      <c r="B11" s="1" t="s">
        <v>12</v>
      </c>
      <c r="C11" s="1" t="s">
        <v>13</v>
      </c>
      <c r="D11" s="1" t="s">
        <v>14</v>
      </c>
      <c r="F11" s="1"/>
      <c r="H11" s="1"/>
    </row>
    <row r="12" spans="1:8" ht="13.5">
      <c r="A12" s="1" t="s">
        <v>15</v>
      </c>
      <c r="B12" s="2">
        <f>COS(H36)*SUM(B31:B41)+COS(H35)*(SUM(B42:B57))+COS(H34)*(SUM(B58:B61)+B62/2)</f>
        <v>9594.280146695077</v>
      </c>
      <c r="C12" s="2">
        <v>0</v>
      </c>
      <c r="D12" s="2">
        <f>D14-SIN(H34)*(SUM(B58:B61)+B62/2)</f>
        <v>-3345.637151208566</v>
      </c>
      <c r="F12" s="1" t="s">
        <v>16</v>
      </c>
      <c r="H12" s="1"/>
    </row>
    <row r="13" spans="1:8" ht="13.5">
      <c r="A13" s="1" t="s">
        <v>17</v>
      </c>
      <c r="B13" s="2">
        <f>COS(H36)*SUM(B31:B41)+COS(H35)*(SUM(B42:B57))+COS(H34)*(SUM(B58:B59)+B60/2)</f>
        <v>9406.16906786596</v>
      </c>
      <c r="C13" s="2">
        <v>0</v>
      </c>
      <c r="D13" s="2">
        <f>D14-SIN(H34)*(SUM(B58:B59)+B60/2)</f>
        <v>-2828.806209776317</v>
      </c>
      <c r="F13" s="1" t="s">
        <v>18</v>
      </c>
      <c r="H13" s="1"/>
    </row>
    <row r="14" spans="1:8" ht="13.5">
      <c r="A14" s="1" t="s">
        <v>19</v>
      </c>
      <c r="B14" s="3">
        <f>COS(H36)*SUM(B31:B41)+COS(H35)*(SUM(B42:B57))</f>
        <v>8971.358859656037</v>
      </c>
      <c r="C14" s="3">
        <v>0</v>
      </c>
      <c r="D14" s="3">
        <f>-(SIN(H36)*SUM(B31:B41)+SIN(H35)*(SUM(B42:B57)))</f>
        <v>-1634.1749809711916</v>
      </c>
      <c r="F14" s="1"/>
      <c r="H14" s="1"/>
    </row>
    <row r="15" spans="1:8" ht="13.5">
      <c r="A15" s="1" t="s">
        <v>20</v>
      </c>
      <c r="B15" s="3">
        <f>COS(H36)*SUM(B31:B41)+COS(H35)*(SUM(B42:B50)+B51/2)</f>
        <v>7091.684192757018</v>
      </c>
      <c r="C15" s="3">
        <v>0</v>
      </c>
      <c r="D15" s="3">
        <f>-(SIN(H36)*SUM(B31:B41)+SIN(H35)*(SUM(B42:B50)+B51/2))</f>
        <v>-950.0293521157099</v>
      </c>
      <c r="F15" s="1"/>
      <c r="H15" s="1"/>
    </row>
    <row r="16" spans="1:8" ht="13.5">
      <c r="A16" s="1" t="s">
        <v>21</v>
      </c>
      <c r="B16" s="3">
        <f>COS(H36)*SUM(B31:B41)+COS(H35)*(SUM(B42:B48)+B49/2)</f>
        <v>6574.853251324768</v>
      </c>
      <c r="C16" s="3">
        <v>0</v>
      </c>
      <c r="D16" s="3">
        <f>-(SIN(H36)*SUM(B31:B41)+SIN(H35)*(SUM(B42:B48)+B49/2))</f>
        <v>-761.9182732865921</v>
      </c>
      <c r="F16" s="1"/>
      <c r="H16" s="1"/>
    </row>
    <row r="17" spans="1:8" ht="13.5">
      <c r="A17" s="1" t="s">
        <v>22</v>
      </c>
      <c r="B17" s="3">
        <f>COS(H36)*SUM(B31:B41)+COS(H35)*(SUM(B42:B46)+B47/2)</f>
        <v>6058.022309892519</v>
      </c>
      <c r="C17" s="3">
        <v>0</v>
      </c>
      <c r="D17" s="3">
        <f>-(SIN(H36)*SUM(B31:B41)+SIN(H35)*(SUM(B42:B46)+B47/2))</f>
        <v>-573.8071944574745</v>
      </c>
      <c r="F17" s="1"/>
      <c r="H17" s="1"/>
    </row>
    <row r="18" spans="1:8" ht="13.5">
      <c r="A18" s="1" t="s">
        <v>23</v>
      </c>
      <c r="B18" s="3">
        <f>COS(H36)*(SUM(B31:B37)+B38/2)</f>
        <v>2148.8</v>
      </c>
      <c r="C18" s="3">
        <v>0</v>
      </c>
      <c r="D18" s="3">
        <f>-(SIN(H36)*(SUM(B31:B37)+B38/2))</f>
        <v>0</v>
      </c>
      <c r="F18" s="1"/>
      <c r="H18" s="1"/>
    </row>
    <row r="19" spans="1:8" ht="13.5">
      <c r="A19" s="1" t="s">
        <v>24</v>
      </c>
      <c r="B19" s="3">
        <f>COS(H36)*(SUM(B31:B35)+B36/2)</f>
        <v>1598.8</v>
      </c>
      <c r="C19" s="3">
        <v>0</v>
      </c>
      <c r="D19" s="3">
        <f>-(SIN(H36)*(SUM(B31:B35)+B36/2))</f>
        <v>0</v>
      </c>
      <c r="F19" s="1"/>
      <c r="H19" s="1"/>
    </row>
    <row r="20" spans="1:8" ht="13.5">
      <c r="A20" s="1" t="s">
        <v>25</v>
      </c>
      <c r="B20" s="3">
        <v>0</v>
      </c>
      <c r="C20" s="3">
        <v>0</v>
      </c>
      <c r="D20" s="3">
        <v>0</v>
      </c>
      <c r="F20" s="1"/>
      <c r="H20" s="1"/>
    </row>
    <row r="21" spans="1:8" ht="13.5">
      <c r="A21" s="1" t="s">
        <v>26</v>
      </c>
      <c r="B21" s="3">
        <f>COS(H37)*(SUM(B68:B72)+B73/2)</f>
        <v>-509.6708635396508</v>
      </c>
      <c r="C21" s="3">
        <v>0</v>
      </c>
      <c r="D21" s="3">
        <f>-(SIN(H37)*(SUM(B68:B72)+B73/2))</f>
        <v>-1902.1175578674802</v>
      </c>
      <c r="F21" s="1"/>
      <c r="H21" s="1"/>
    </row>
    <row r="22" spans="1:8" ht="13.5">
      <c r="A22" s="1" t="s">
        <v>27</v>
      </c>
      <c r="B22" s="3">
        <f>COS(H37)*SUM(B68:B78)+COS(H38)*(SUM(B79:B83)+B84/2)</f>
        <v>-309.8105574262935</v>
      </c>
      <c r="C22" s="3">
        <v>0</v>
      </c>
      <c r="D22" s="3">
        <f>-(SIN(H37)*SUM(B68:B78)+SIN(H38)*(SUM(B79:B83)+B84/2))</f>
        <v>-6079.138085692438</v>
      </c>
      <c r="F22" s="1"/>
      <c r="H22" s="1"/>
    </row>
    <row r="23" spans="1:8" ht="13.5">
      <c r="A23" s="1" t="s">
        <v>28</v>
      </c>
      <c r="B23" s="3">
        <f>COS(H37)*SUM(B68:B78)+COS(H38)*(SUM(B79:B85)+B86/2)</f>
        <v>-82.02514197139806</v>
      </c>
      <c r="C23" s="3">
        <v>0</v>
      </c>
      <c r="D23" s="3">
        <f>-(SIN(H37)*SUM(B68:B78)+SIN(H38)*(SUM(B79:B85)+B86/2))</f>
        <v>-6704.973371135853</v>
      </c>
      <c r="F23" s="1"/>
      <c r="H23" s="1"/>
    </row>
    <row r="24" spans="6:8" ht="13.5">
      <c r="F24" s="1"/>
      <c r="H24" s="1"/>
    </row>
    <row r="25" spans="6:8" ht="13.5">
      <c r="F25" s="1"/>
      <c r="H25" s="1"/>
    </row>
    <row r="26" spans="6:8" ht="13.5">
      <c r="F26" s="1"/>
      <c r="H26" s="1"/>
    </row>
    <row r="27" spans="6:8" ht="13.5">
      <c r="F27" s="1"/>
      <c r="H27" s="1"/>
    </row>
    <row r="28" spans="6:8" ht="13.5">
      <c r="F28" s="1"/>
      <c r="H28" s="1"/>
    </row>
    <row r="29" spans="6:8" ht="13.5">
      <c r="F29" s="1"/>
      <c r="H29" s="1"/>
    </row>
    <row r="30" spans="1:8" ht="13.5">
      <c r="A30" s="1" t="s">
        <v>29</v>
      </c>
      <c r="F30" s="1"/>
      <c r="H30" s="1"/>
    </row>
    <row r="31" spans="2:8" ht="13.5">
      <c r="B31" s="1">
        <v>623.8</v>
      </c>
      <c r="F31" s="1"/>
      <c r="H31" s="1"/>
    </row>
    <row r="32" spans="2:8" ht="13.5">
      <c r="B32" s="1">
        <v>370</v>
      </c>
      <c r="F32" s="1"/>
      <c r="H32" s="1"/>
    </row>
    <row r="33" spans="2:9" ht="13.5">
      <c r="B33" s="1">
        <v>81</v>
      </c>
      <c r="F33" s="1"/>
      <c r="H33" s="1" t="s">
        <v>30</v>
      </c>
      <c r="I33" s="1" t="s">
        <v>31</v>
      </c>
    </row>
    <row r="34" spans="2:9" ht="13.5">
      <c r="B34" s="1">
        <v>199</v>
      </c>
      <c r="F34" s="1" t="s">
        <v>32</v>
      </c>
      <c r="G34" s="1" t="s">
        <v>33</v>
      </c>
      <c r="H34" s="1">
        <f>I34*PI()/180</f>
        <v>1.2217304763960306</v>
      </c>
      <c r="I34" s="1">
        <v>70</v>
      </c>
    </row>
    <row r="35" spans="2:9" ht="13.5">
      <c r="B35" s="1">
        <v>150</v>
      </c>
      <c r="F35" s="1" t="s">
        <v>34</v>
      </c>
      <c r="G35" s="1" t="s">
        <v>35</v>
      </c>
      <c r="H35" s="1">
        <f>I35*PI()/180</f>
        <v>0.3490658503988659</v>
      </c>
      <c r="I35" s="1">
        <v>20</v>
      </c>
    </row>
    <row r="36" spans="2:9" ht="13.5">
      <c r="B36" s="1">
        <v>350</v>
      </c>
      <c r="C36" s="1" t="s">
        <v>36</v>
      </c>
      <c r="D36" s="1"/>
      <c r="F36" s="1" t="s">
        <v>37</v>
      </c>
      <c r="G36" s="1" t="s">
        <v>38</v>
      </c>
      <c r="H36" s="1">
        <f>I36*PI()/180</f>
        <v>0</v>
      </c>
      <c r="I36" s="1">
        <v>0</v>
      </c>
    </row>
    <row r="37" spans="2:9" ht="13.5">
      <c r="B37" s="1">
        <v>245</v>
      </c>
      <c r="F37" s="1" t="s">
        <v>39</v>
      </c>
      <c r="G37" s="1" t="s">
        <v>40</v>
      </c>
      <c r="H37" s="1">
        <f>I37*PI()/180</f>
        <v>1.8325957145940461</v>
      </c>
      <c r="I37" s="1">
        <f>180-75</f>
        <v>105</v>
      </c>
    </row>
    <row r="38" spans="2:9" ht="13.5">
      <c r="B38" s="1">
        <v>260</v>
      </c>
      <c r="C38" s="1" t="s">
        <v>41</v>
      </c>
      <c r="D38" s="1"/>
      <c r="F38" s="1" t="s">
        <v>42</v>
      </c>
      <c r="G38" s="1" t="s">
        <v>43</v>
      </c>
      <c r="H38" s="1">
        <f>I38*PI()/180</f>
        <v>1.2217304763960306</v>
      </c>
      <c r="I38" s="1">
        <f>I37-35</f>
        <v>70</v>
      </c>
    </row>
    <row r="39" spans="2:8" ht="13.5">
      <c r="B39" s="1">
        <v>800</v>
      </c>
      <c r="F39" s="1"/>
      <c r="H39" s="1"/>
    </row>
    <row r="40" spans="2:8" ht="13.5">
      <c r="B40" s="1">
        <v>1050</v>
      </c>
      <c r="F40" s="1"/>
      <c r="H40" s="1"/>
    </row>
    <row r="41" spans="2:8" ht="13.5">
      <c r="B41" s="4">
        <v>352.7</v>
      </c>
      <c r="F41" s="1"/>
      <c r="H41" s="1"/>
    </row>
    <row r="42" spans="2:8" ht="13.5">
      <c r="B42" s="1">
        <v>352.7</v>
      </c>
      <c r="F42" s="1"/>
      <c r="H42" s="1"/>
    </row>
    <row r="43" spans="2:8" ht="13.5">
      <c r="B43" s="1">
        <v>500</v>
      </c>
      <c r="F43" s="1"/>
      <c r="H43" s="1"/>
    </row>
    <row r="44" spans="2:8" ht="13.5">
      <c r="B44" s="1">
        <v>305.9</v>
      </c>
      <c r="F44" s="1"/>
      <c r="H44" s="1"/>
    </row>
    <row r="45" spans="2:8" ht="13.5">
      <c r="B45" s="1">
        <v>194.1</v>
      </c>
      <c r="F45" s="1"/>
      <c r="H45" s="1"/>
    </row>
    <row r="46" spans="2:8" ht="13.5">
      <c r="B46" s="1">
        <v>150</v>
      </c>
      <c r="F46" s="1"/>
      <c r="H46" s="1"/>
    </row>
    <row r="47" spans="2:8" ht="13.5">
      <c r="B47" s="1">
        <v>350</v>
      </c>
      <c r="C47" s="1" t="s">
        <v>44</v>
      </c>
      <c r="D47" s="1"/>
      <c r="F47" s="1"/>
      <c r="H47" s="1"/>
    </row>
    <row r="48" spans="2:8" ht="13.5">
      <c r="B48" s="1">
        <v>200</v>
      </c>
      <c r="F48" s="1"/>
      <c r="H48" s="1"/>
    </row>
    <row r="49" spans="2:8" ht="13.5">
      <c r="B49" s="1">
        <v>350</v>
      </c>
      <c r="C49" s="1" t="s">
        <v>45</v>
      </c>
      <c r="D49" s="1"/>
      <c r="F49" s="1"/>
      <c r="H49" s="1"/>
    </row>
    <row r="50" spans="2:8" ht="13.5">
      <c r="B50" s="1">
        <v>200</v>
      </c>
      <c r="F50" s="1"/>
      <c r="H50" s="1"/>
    </row>
    <row r="51" spans="2:8" ht="13.5">
      <c r="B51" s="1">
        <v>350</v>
      </c>
      <c r="C51" s="1" t="s">
        <v>46</v>
      </c>
      <c r="D51" s="1"/>
      <c r="F51" s="1"/>
      <c r="H51" s="1"/>
    </row>
    <row r="52" spans="2:8" ht="13.5">
      <c r="B52" s="1">
        <v>150</v>
      </c>
      <c r="F52" s="1"/>
      <c r="H52" s="1"/>
    </row>
    <row r="53" spans="2:8" ht="13.5">
      <c r="B53" s="1">
        <v>194.1</v>
      </c>
      <c r="F53" s="1"/>
      <c r="H53" s="1"/>
    </row>
    <row r="54" spans="2:8" ht="13.5">
      <c r="B54" s="1">
        <v>492</v>
      </c>
      <c r="C54" s="1"/>
      <c r="D54" s="1" t="s">
        <v>47</v>
      </c>
      <c r="F54" s="1"/>
      <c r="H54" s="1"/>
    </row>
    <row r="55" spans="2:8" ht="13.5">
      <c r="B55" s="1">
        <v>215</v>
      </c>
      <c r="F55" s="1"/>
      <c r="H55" s="1"/>
    </row>
    <row r="56" spans="2:8" ht="13.5">
      <c r="B56" s="5">
        <v>307.9</v>
      </c>
      <c r="F56" s="1"/>
      <c r="H56" s="1"/>
    </row>
    <row r="57" spans="2:8" ht="13.5">
      <c r="B57" s="4">
        <v>466.308</v>
      </c>
      <c r="F57" s="1"/>
      <c r="H57" s="1"/>
    </row>
    <row r="58" spans="2:8" ht="13.5">
      <c r="B58" s="1">
        <v>466.3</v>
      </c>
      <c r="F58" s="1"/>
      <c r="H58" s="1"/>
    </row>
    <row r="59" spans="2:8" ht="13.5">
      <c r="B59" s="1">
        <v>630</v>
      </c>
      <c r="F59" s="1"/>
      <c r="H59" s="1"/>
    </row>
    <row r="60" spans="2:8" ht="13.5">
      <c r="B60" s="1">
        <v>350</v>
      </c>
      <c r="C60" s="1" t="s">
        <v>48</v>
      </c>
      <c r="D60" s="1"/>
      <c r="F60" s="1"/>
      <c r="H60" s="1"/>
    </row>
    <row r="61" spans="2:8" ht="13.5">
      <c r="B61" s="1">
        <v>245</v>
      </c>
      <c r="F61" s="1"/>
      <c r="H61" s="1"/>
    </row>
    <row r="62" spans="2:8" ht="13.5">
      <c r="B62" s="1">
        <v>260</v>
      </c>
      <c r="C62" s="1" t="s">
        <v>49</v>
      </c>
      <c r="D62" s="1"/>
      <c r="F62" s="1"/>
      <c r="H62" s="1"/>
    </row>
    <row r="63" spans="2:8" ht="13.5">
      <c r="B63" s="1">
        <v>1065</v>
      </c>
      <c r="F63" s="1"/>
      <c r="H63" s="1"/>
    </row>
    <row r="64" spans="6:8" ht="13.5">
      <c r="F64" s="1"/>
      <c r="H64" s="1"/>
    </row>
    <row r="65" spans="6:8" ht="13.5">
      <c r="F65" s="1"/>
      <c r="H65" s="1"/>
    </row>
    <row r="66" spans="1:8" ht="13.5">
      <c r="A66" s="1" t="s">
        <v>50</v>
      </c>
      <c r="F66" s="1"/>
      <c r="H66" s="1"/>
    </row>
    <row r="67" spans="6:8" ht="13.5">
      <c r="F67" s="1"/>
      <c r="H67" s="1"/>
    </row>
    <row r="68" spans="2:8" ht="13.5">
      <c r="B68" s="1">
        <v>623.8</v>
      </c>
      <c r="F68" s="1"/>
      <c r="H68" s="1"/>
    </row>
    <row r="69" spans="2:8" ht="13.5">
      <c r="B69" s="1">
        <v>564.217</v>
      </c>
      <c r="F69" s="1"/>
      <c r="H69" s="1"/>
    </row>
    <row r="70" spans="2:8" ht="13.5">
      <c r="B70" s="1">
        <v>59</v>
      </c>
      <c r="C70" s="1" t="s">
        <v>51</v>
      </c>
      <c r="D70" s="1"/>
      <c r="F70" s="1"/>
      <c r="H70" s="1"/>
    </row>
    <row r="71" spans="2:8" ht="13.5">
      <c r="B71" s="1">
        <v>370</v>
      </c>
      <c r="F71" s="1"/>
      <c r="H71" s="1"/>
    </row>
    <row r="72" spans="2:8" ht="13.5">
      <c r="B72" s="1">
        <v>177.2</v>
      </c>
      <c r="F72" s="1"/>
      <c r="H72" s="1"/>
    </row>
    <row r="73" spans="2:8" ht="13.5">
      <c r="B73" s="1">
        <v>350</v>
      </c>
      <c r="C73" s="1" t="s">
        <v>52</v>
      </c>
      <c r="D73" s="1"/>
      <c r="F73" s="1"/>
      <c r="H73" s="1"/>
    </row>
    <row r="74" spans="2:8" ht="13.5">
      <c r="B74" s="1">
        <v>150</v>
      </c>
      <c r="F74" s="1"/>
      <c r="H74" s="1"/>
    </row>
    <row r="75" spans="2:8" ht="13.5">
      <c r="B75" s="1">
        <v>199</v>
      </c>
      <c r="F75" s="1"/>
      <c r="H75" s="1"/>
    </row>
    <row r="76" spans="2:8" ht="13.5">
      <c r="B76" s="1">
        <v>351</v>
      </c>
      <c r="F76" s="1"/>
      <c r="H76" s="1"/>
    </row>
    <row r="77" spans="2:8" ht="13.5">
      <c r="B77" s="1">
        <v>500</v>
      </c>
      <c r="F77" s="1"/>
      <c r="H77" s="1"/>
    </row>
    <row r="78" spans="2:8" ht="13.5">
      <c r="B78" s="4">
        <v>788.3</v>
      </c>
      <c r="F78" s="1"/>
      <c r="H78" s="1"/>
    </row>
    <row r="79" spans="2:8" ht="13.5">
      <c r="B79" s="1">
        <v>788.3</v>
      </c>
      <c r="F79" s="1"/>
      <c r="H79" s="1"/>
    </row>
    <row r="80" spans="2:8" ht="13.5">
      <c r="B80" s="1">
        <v>500.1</v>
      </c>
      <c r="F80" s="1"/>
      <c r="H80" s="1"/>
    </row>
    <row r="81" spans="2:8" ht="13.5">
      <c r="B81" s="1">
        <v>265</v>
      </c>
      <c r="F81" s="1"/>
      <c r="H81" s="1"/>
    </row>
    <row r="82" spans="2:8" ht="13.5">
      <c r="B82" s="1">
        <v>370</v>
      </c>
      <c r="F82" s="1"/>
      <c r="H82" s="1"/>
    </row>
    <row r="83" spans="2:8" ht="13.5">
      <c r="B83" s="1">
        <v>65</v>
      </c>
      <c r="F83" s="1"/>
      <c r="H83" s="1"/>
    </row>
    <row r="84" spans="2:8" ht="13.5">
      <c r="B84" s="1">
        <v>466</v>
      </c>
      <c r="C84" s="1" t="s">
        <v>53</v>
      </c>
      <c r="D84" s="1"/>
      <c r="F84" s="1"/>
      <c r="H84" s="1"/>
    </row>
    <row r="85" spans="2:8" ht="13.5">
      <c r="B85" s="1">
        <v>200</v>
      </c>
      <c r="F85" s="1"/>
      <c r="H85" s="1"/>
    </row>
    <row r="86" spans="2:8" ht="13.5">
      <c r="B86" s="1">
        <v>466</v>
      </c>
      <c r="C86" s="1" t="s">
        <v>54</v>
      </c>
      <c r="D86" s="1"/>
      <c r="F86" s="1"/>
      <c r="H86" s="1"/>
    </row>
    <row r="87" spans="2:8" ht="13.5">
      <c r="B87" s="1">
        <v>1377.2</v>
      </c>
      <c r="F87" s="1"/>
      <c r="H87" s="1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1">
      <selection activeCell="E5" sqref="E5"/>
    </sheetView>
  </sheetViews>
  <sheetFormatPr defaultColWidth="9.140625" defaultRowHeight="12.75"/>
  <cols>
    <col min="1" max="1" width="13.57421875" style="1" customWidth="1"/>
    <col min="2" max="2" width="12.421875" style="1" customWidth="1"/>
    <col min="3" max="3" width="25.140625" style="1" customWidth="1"/>
    <col min="4" max="4" width="9.00390625" style="0" customWidth="1"/>
    <col min="5" max="5" width="33.7109375" style="1" customWidth="1"/>
    <col min="6" max="6" width="21.57421875" style="1" customWidth="1"/>
    <col min="7" max="7" width="12.28125" style="1" customWidth="1"/>
    <col min="8" max="256" width="9.00390625" style="0" customWidth="1"/>
  </cols>
  <sheetData>
    <row r="1" spans="1:7" ht="13.5">
      <c r="A1" s="1" t="s">
        <v>55</v>
      </c>
      <c r="B1" s="1" t="s">
        <v>56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</row>
    <row r="2" ht="13.5"/>
    <row r="3" spans="1:7" ht="13.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/>
      <c r="G3" s="1" t="s">
        <v>67</v>
      </c>
    </row>
    <row r="4" spans="1:7" ht="13.5">
      <c r="A4" s="1" t="s">
        <v>68</v>
      </c>
      <c r="B4" s="1" t="s">
        <v>69</v>
      </c>
      <c r="C4" s="1" t="s">
        <v>70</v>
      </c>
      <c r="D4" s="1" t="s">
        <v>71</v>
      </c>
      <c r="E4" s="1" t="s">
        <v>72</v>
      </c>
      <c r="F4" s="1"/>
      <c r="G4" s="1" t="s">
        <v>73</v>
      </c>
    </row>
    <row r="5" spans="1:7" ht="26.25">
      <c r="A5" s="1" t="s">
        <v>74</v>
      </c>
      <c r="B5" s="1" t="s">
        <v>75</v>
      </c>
      <c r="C5" s="6" t="s">
        <v>76</v>
      </c>
      <c r="D5" s="1" t="s">
        <v>77</v>
      </c>
      <c r="E5" s="1"/>
      <c r="F5" s="1" t="s">
        <v>78</v>
      </c>
      <c r="G5" s="1" t="s">
        <v>79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56">
      <pane xSplit="2" topLeftCell="C56" activePane="topRight" state="frozen"/>
      <selection pane="topLeft" activeCell="I63" sqref="I63"/>
      <selection pane="topRight" activeCell="I63" sqref="I63"/>
    </sheetView>
  </sheetViews>
  <sheetFormatPr defaultColWidth="9.140625" defaultRowHeight="12.75"/>
  <cols>
    <col min="1" max="1" width="10.421875" style="1" customWidth="1"/>
    <col min="2" max="5" width="9.00390625" style="0" customWidth="1"/>
    <col min="6" max="11" width="9.140625" style="7" customWidth="1"/>
    <col min="12" max="12" width="10.00390625" style="7" customWidth="1"/>
    <col min="13" max="13" width="9.140625" style="7" customWidth="1"/>
    <col min="14" max="14" width="9.57421875" style="7" customWidth="1"/>
    <col min="15" max="256" width="9.00390625" style="0" customWidth="1"/>
  </cols>
  <sheetData>
    <row r="1" spans="1:15" ht="13.5">
      <c r="A1" s="1" t="s">
        <v>80</v>
      </c>
      <c r="B1" s="1" t="s">
        <v>81</v>
      </c>
      <c r="E1" s="8" t="s">
        <v>82</v>
      </c>
      <c r="F1" s="8"/>
      <c r="H1" s="9" t="s">
        <v>83</v>
      </c>
      <c r="I1" s="9"/>
      <c r="K1" s="9" t="s">
        <v>84</v>
      </c>
      <c r="L1" s="9"/>
      <c r="N1" s="9" t="s">
        <v>85</v>
      </c>
      <c r="O1" s="9"/>
    </row>
    <row r="2" spans="1:17" ht="13.5">
      <c r="A2" s="1"/>
      <c r="C2" s="10" t="s">
        <v>86</v>
      </c>
      <c r="D2" s="11" t="s">
        <v>87</v>
      </c>
      <c r="E2" s="12" t="s">
        <v>88</v>
      </c>
      <c r="I2" s="13" t="s">
        <v>89</v>
      </c>
      <c r="J2" s="14" t="s">
        <v>90</v>
      </c>
      <c r="K2" s="15" t="s">
        <v>91</v>
      </c>
      <c r="O2" s="10" t="s">
        <v>92</v>
      </c>
      <c r="P2" s="11" t="s">
        <v>93</v>
      </c>
      <c r="Q2" s="12" t="s">
        <v>94</v>
      </c>
    </row>
    <row r="3" spans="1:18" ht="13.5">
      <c r="A3" s="1" t="s">
        <v>95</v>
      </c>
      <c r="B3" s="1" t="s">
        <v>96</v>
      </c>
      <c r="C3" s="16">
        <v>10071.435666666666</v>
      </c>
      <c r="D3" s="1">
        <v>-85.42433333333334</v>
      </c>
      <c r="E3" s="17">
        <v>-1534.5723333333335</v>
      </c>
      <c r="F3" s="18">
        <f aca="true" t="shared" si="0" ref="F3:H5">C3+I$56</f>
        <v>10153.697176252415</v>
      </c>
      <c r="G3" s="18">
        <f t="shared" si="0"/>
        <v>314.87966666666665</v>
      </c>
      <c r="H3" s="18">
        <f t="shared" si="0"/>
        <v>-1144.0405880927274</v>
      </c>
      <c r="I3" s="19">
        <f>COS($D$61)*F3+SIN($D$61)*H3</f>
        <v>9624.958344534563</v>
      </c>
      <c r="J3" s="7">
        <f aca="true" t="shared" si="1" ref="J3:J38">G3</f>
        <v>314.87966666666665</v>
      </c>
      <c r="K3" s="20">
        <f>COS($D$61)*H3-SIN($D$61)*F3</f>
        <v>-3430.243734811609</v>
      </c>
      <c r="L3" s="18">
        <f aca="true" t="shared" si="2" ref="L3:N5">I3-N$55</f>
        <v>30.67819783948653</v>
      </c>
      <c r="M3" s="18">
        <f t="shared" si="2"/>
        <v>314.87966666666665</v>
      </c>
      <c r="N3" s="18">
        <f t="shared" si="2"/>
        <v>-84.60658360304296</v>
      </c>
      <c r="O3" s="21">
        <f>COS($N$69+3*PI()/2)*L3-SIN($N$69+3*PI()/2)*N3</f>
        <v>-0.10907972143222722</v>
      </c>
      <c r="P3" s="22">
        <f aca="true" t="shared" si="3" ref="P3:P38">M3</f>
        <v>314.87966666666665</v>
      </c>
      <c r="Q3" s="23">
        <f>SIN($N$69+3*PI()/2)*L3+COS($N$69+3*PI()/2)*N3</f>
        <v>-89.99674390371992</v>
      </c>
      <c r="R3" s="1" t="s">
        <v>97</v>
      </c>
    </row>
    <row r="4" spans="1:17" ht="13.5">
      <c r="A4" s="1"/>
      <c r="B4" s="1" t="s">
        <v>98</v>
      </c>
      <c r="C4" s="16">
        <v>10015.755666666666</v>
      </c>
      <c r="D4" s="1">
        <v>-85.05366666666667</v>
      </c>
      <c r="E4" s="17">
        <v>-1449.5826666666665</v>
      </c>
      <c r="F4" s="18">
        <f t="shared" si="0"/>
        <v>10098.017176252415</v>
      </c>
      <c r="G4" s="18">
        <f t="shared" si="0"/>
        <v>315.2503333333333</v>
      </c>
      <c r="H4" s="18">
        <f t="shared" si="0"/>
        <v>-1059.0509214260603</v>
      </c>
      <c r="I4" s="19">
        <f>COS($D$61)*F4+SIN($D$61)*H4</f>
        <v>9590.135358034602</v>
      </c>
      <c r="J4" s="7">
        <f t="shared" si="1"/>
        <v>315.2503333333333</v>
      </c>
      <c r="K4" s="20">
        <f>COS($D$61)*H4-SIN($D$61)*F4</f>
        <v>-3334.792881220168</v>
      </c>
      <c r="L4" s="18">
        <f t="shared" si="2"/>
        <v>-4.14478866047466</v>
      </c>
      <c r="M4" s="18">
        <f t="shared" si="2"/>
        <v>315.2503333333333</v>
      </c>
      <c r="N4" s="18">
        <f t="shared" si="2"/>
        <v>10.844269988398082</v>
      </c>
      <c r="O4" s="21">
        <f>COS($N$69+3*PI()/2)*L4-SIN($N$69+3*PI()/2)*N4</f>
        <v>-0.18586854327098923</v>
      </c>
      <c r="P4" s="22">
        <f t="shared" si="3"/>
        <v>315.2503333333333</v>
      </c>
      <c r="Q4" s="23">
        <f>SIN($N$69+3*PI()/2)*L4+COS($N$69+3*PI()/2)*N4</f>
        <v>11.607881697617916</v>
      </c>
    </row>
    <row r="5" spans="1:17" ht="13.5">
      <c r="A5" s="1"/>
      <c r="B5" s="1" t="s">
        <v>99</v>
      </c>
      <c r="C5" s="16">
        <v>10299.901</v>
      </c>
      <c r="D5" s="1">
        <v>-340.6553333333333</v>
      </c>
      <c r="E5" s="17">
        <v>-1384.0456666666669</v>
      </c>
      <c r="F5" s="18">
        <f t="shared" si="0"/>
        <v>10382.162509585749</v>
      </c>
      <c r="G5" s="18">
        <f t="shared" si="0"/>
        <v>59.64866666666666</v>
      </c>
      <c r="H5" s="18">
        <f t="shared" si="0"/>
        <v>-993.5139214260607</v>
      </c>
      <c r="I5" s="19">
        <f>COS($D$61)*F5+SIN($D$61)*H5</f>
        <v>9881.738927438535</v>
      </c>
      <c r="J5" s="7">
        <f t="shared" si="1"/>
        <v>59.64866666666666</v>
      </c>
      <c r="K5" s="20">
        <f>COS($D$61)*H5-SIN($D$61)*F5</f>
        <v>-3335.8063579082577</v>
      </c>
      <c r="L5" s="18">
        <f t="shared" si="2"/>
        <v>287.4587807434582</v>
      </c>
      <c r="M5" s="18">
        <f t="shared" si="2"/>
        <v>59.64866666666666</v>
      </c>
      <c r="N5" s="18">
        <f t="shared" si="2"/>
        <v>9.830793300308414</v>
      </c>
      <c r="O5" s="21">
        <f>COS($N$69+3*PI()/2)*L5-SIN($N$69+3*PI()/2)*N5</f>
        <v>273.48522437831855</v>
      </c>
      <c r="P5" s="22">
        <f t="shared" si="3"/>
        <v>59.64866666666666</v>
      </c>
      <c r="Q5" s="23">
        <f>SIN($N$69+3*PI()/2)*L5+COS($N$69+3*PI()/2)*N5</f>
        <v>-89.07876946932815</v>
      </c>
    </row>
    <row r="6" spans="1:17" ht="13.5">
      <c r="A6" s="1"/>
      <c r="C6" s="16"/>
      <c r="D6" s="1"/>
      <c r="E6" s="17"/>
      <c r="F6" s="18"/>
      <c r="G6" s="18"/>
      <c r="H6" s="18"/>
      <c r="I6" s="19"/>
      <c r="K6" s="20"/>
      <c r="L6" s="18"/>
      <c r="M6" s="18"/>
      <c r="N6" s="18"/>
      <c r="O6" s="21"/>
      <c r="P6" s="22"/>
      <c r="Q6" s="23"/>
    </row>
    <row r="7" spans="1:17" ht="13.5">
      <c r="A7" s="1" t="s">
        <v>100</v>
      </c>
      <c r="B7" s="1" t="s">
        <v>101</v>
      </c>
      <c r="C7" s="16">
        <v>9781.710333333334</v>
      </c>
      <c r="D7" s="1">
        <v>6.0873333333333335</v>
      </c>
      <c r="E7" s="17">
        <v>-1091.39</v>
      </c>
      <c r="F7" s="18">
        <f aca="true" t="shared" si="4" ref="F7:H9">C7+I$56</f>
        <v>9863.971842919083</v>
      </c>
      <c r="G7" s="18">
        <f t="shared" si="4"/>
        <v>406.3913333333333</v>
      </c>
      <c r="H7" s="18">
        <f t="shared" si="4"/>
        <v>-700.858254759394</v>
      </c>
      <c r="I7" s="19">
        <f>COS($D$61)*F7+SIN($D$61)*H7</f>
        <v>9443.976458888988</v>
      </c>
      <c r="J7" s="7">
        <f t="shared" si="1"/>
        <v>406.3913333333333</v>
      </c>
      <c r="K7" s="20">
        <f>COS($D$61)*H7-SIN($D$61)*F7</f>
        <v>-2932.6526311712205</v>
      </c>
      <c r="L7" s="18">
        <f aca="true" t="shared" si="5" ref="L7:N9">I7-N$56</f>
        <v>37.807391023028686</v>
      </c>
      <c r="M7" s="18">
        <f t="shared" si="5"/>
        <v>406.3913333333333</v>
      </c>
      <c r="N7" s="18">
        <f t="shared" si="5"/>
        <v>-103.8464213949037</v>
      </c>
      <c r="O7" s="21">
        <f>COS($N$69+3*PI()/2)*L7-SIN($N$69+3*PI()/2)*N7</f>
        <v>0.009758426164715672</v>
      </c>
      <c r="P7" s="22">
        <f t="shared" si="3"/>
        <v>406.3913333333333</v>
      </c>
      <c r="Q7" s="23">
        <f>SIN($N$69+3*PI()/2)*L7+COS($N$69+3*PI()/2)*N7</f>
        <v>-110.51460517628075</v>
      </c>
    </row>
    <row r="8" spans="1:17" ht="13.5">
      <c r="A8" s="1"/>
      <c r="B8" s="1" t="s">
        <v>102</v>
      </c>
      <c r="C8" s="16">
        <v>9649.347</v>
      </c>
      <c r="D8" s="1">
        <v>6.149</v>
      </c>
      <c r="E8" s="17">
        <v>-889.6916666666667</v>
      </c>
      <c r="F8" s="18">
        <f t="shared" si="4"/>
        <v>9731.608509585749</v>
      </c>
      <c r="G8" s="18">
        <f t="shared" si="4"/>
        <v>406.453</v>
      </c>
      <c r="H8" s="18">
        <f t="shared" si="4"/>
        <v>-499.1599214260605</v>
      </c>
      <c r="I8" s="19">
        <f>COS($D$61)*F8+SIN($D$61)*H8</f>
        <v>9361.117080461006</v>
      </c>
      <c r="J8" s="7">
        <f t="shared" si="1"/>
        <v>406.453</v>
      </c>
      <c r="K8" s="20">
        <f>COS($D$61)*H8-SIN($D$61)*F8</f>
        <v>-2706.076831300439</v>
      </c>
      <c r="L8" s="18">
        <f t="shared" si="5"/>
        <v>-45.05198740495325</v>
      </c>
      <c r="M8" s="18">
        <f t="shared" si="5"/>
        <v>406.453</v>
      </c>
      <c r="N8" s="18">
        <f t="shared" si="5"/>
        <v>122.72937847587764</v>
      </c>
      <c r="O8" s="21">
        <f>COS($N$69+3*PI()/2)*L8-SIN($N$69+3*PI()/2)*N8</f>
        <v>-0.35910049958435764</v>
      </c>
      <c r="P8" s="22">
        <f t="shared" si="3"/>
        <v>406.453</v>
      </c>
      <c r="Q8" s="23">
        <f>SIN($N$69+3*PI()/2)*L8+COS($N$69+3*PI()/2)*N8</f>
        <v>130.73657849677144</v>
      </c>
    </row>
    <row r="9" spans="1:17" ht="13.5">
      <c r="A9" s="1"/>
      <c r="B9" s="1" t="s">
        <v>103</v>
      </c>
      <c r="C9" s="16">
        <v>10086.397333333332</v>
      </c>
      <c r="D9" s="1">
        <v>-340.46933333333334</v>
      </c>
      <c r="E9" s="17">
        <v>-889.8103333333333</v>
      </c>
      <c r="F9" s="18">
        <f t="shared" si="4"/>
        <v>10168.658842919082</v>
      </c>
      <c r="G9" s="18">
        <f t="shared" si="4"/>
        <v>59.834666666666635</v>
      </c>
      <c r="H9" s="18">
        <f t="shared" si="4"/>
        <v>-499.27858809272715</v>
      </c>
      <c r="I9" s="19">
        <f>COS($D$61)*F9+SIN($D$61)*H9</f>
        <v>9786.615542037978</v>
      </c>
      <c r="J9" s="7">
        <f t="shared" si="1"/>
        <v>59.834666666666635</v>
      </c>
      <c r="K9" s="20">
        <f>COS($D$61)*H9-SIN($D$61)*F9</f>
        <v>-2805.8970053344806</v>
      </c>
      <c r="L9" s="18">
        <f t="shared" si="5"/>
        <v>380.4464741720185</v>
      </c>
      <c r="M9" s="18">
        <f t="shared" si="5"/>
        <v>59.834666666666635</v>
      </c>
      <c r="N9" s="18">
        <f t="shared" si="5"/>
        <v>22.90920444183621</v>
      </c>
      <c r="O9" s="21">
        <f>COS($N$69+3*PI()/2)*L9-SIN($N$69+3*PI()/2)*N9</f>
        <v>365.33815377013633</v>
      </c>
      <c r="P9" s="22">
        <f t="shared" si="3"/>
        <v>59.834666666666635</v>
      </c>
      <c r="Q9" s="23">
        <f>SIN($N$69+3*PI()/2)*L9+COS($N$69+3*PI()/2)*N9</f>
        <v>-108.5927472619898</v>
      </c>
    </row>
    <row r="10" spans="1:17" ht="13.5">
      <c r="A10" s="1"/>
      <c r="C10" s="16"/>
      <c r="D10" s="1"/>
      <c r="E10" s="17"/>
      <c r="F10" s="18"/>
      <c r="G10" s="18"/>
      <c r="H10" s="18"/>
      <c r="I10" s="19"/>
      <c r="K10" s="20"/>
      <c r="L10" s="18"/>
      <c r="M10" s="18"/>
      <c r="N10" s="18"/>
      <c r="O10" s="21"/>
      <c r="P10" s="22"/>
      <c r="Q10" s="23"/>
    </row>
    <row r="11" spans="1:18" ht="13.5">
      <c r="A11" s="1" t="s">
        <v>104</v>
      </c>
      <c r="B11" s="1" t="s">
        <v>105</v>
      </c>
      <c r="C11" s="16">
        <v>8831.638333333334</v>
      </c>
      <c r="D11" s="1">
        <v>-91.218</v>
      </c>
      <c r="E11" s="17">
        <v>-380.43</v>
      </c>
      <c r="F11" s="18">
        <f aca="true" t="shared" si="6" ref="F11:H13">C11+I$56</f>
        <v>8913.899842919083</v>
      </c>
      <c r="G11" s="18">
        <f t="shared" si="6"/>
        <v>309.08599999999996</v>
      </c>
      <c r="H11" s="18">
        <f t="shared" si="6"/>
        <v>10.101745240606192</v>
      </c>
      <c r="I11" s="19">
        <f>COS($D$61)*F11+SIN($D$61)*H11</f>
        <v>8681.149250092842</v>
      </c>
      <c r="J11" s="7">
        <f t="shared" si="1"/>
        <v>309.08599999999996</v>
      </c>
      <c r="K11" s="20">
        <f>COS($D$61)*H11-SIN($D$61)*F11</f>
        <v>-2023.6996201171394</v>
      </c>
      <c r="L11" s="18">
        <f aca="true" t="shared" si="7" ref="L11:N13">I11-N$57</f>
        <v>-290.20960956319504</v>
      </c>
      <c r="M11" s="18">
        <f t="shared" si="7"/>
        <v>309.08599999999996</v>
      </c>
      <c r="N11" s="18">
        <f t="shared" si="7"/>
        <v>-389.52463914594773</v>
      </c>
      <c r="O11" s="21">
        <f>COS($N$69+65*PI()/180)*L11-SIN($N$69+65*PI()/180)*N11</f>
        <v>480.6446966669781</v>
      </c>
      <c r="P11" s="22">
        <f t="shared" si="3"/>
        <v>309.08599999999996</v>
      </c>
      <c r="Q11" s="23">
        <f>SIN($N$69+65*PI()/180)*L11+COS($N$69+65*PI()/180)*N11</f>
        <v>70.22633089170694</v>
      </c>
      <c r="R11" s="1" t="s">
        <v>106</v>
      </c>
    </row>
    <row r="12" spans="1:17" ht="13.5">
      <c r="A12" s="1"/>
      <c r="B12" s="1" t="s">
        <v>107</v>
      </c>
      <c r="C12" s="16">
        <v>9474.927333333333</v>
      </c>
      <c r="D12" s="1">
        <v>-91.16300000000001</v>
      </c>
      <c r="E12" s="17">
        <v>-0.0016666666666666668</v>
      </c>
      <c r="F12" s="18">
        <f t="shared" si="6"/>
        <v>9557.188842919082</v>
      </c>
      <c r="G12" s="18">
        <f t="shared" si="6"/>
        <v>309.14099999999996</v>
      </c>
      <c r="H12" s="18">
        <f t="shared" si="6"/>
        <v>390.53007857393953</v>
      </c>
      <c r="I12" s="19">
        <f>COS($D$61)*F12+SIN($D$61)*H12</f>
        <v>9394.262453762422</v>
      </c>
      <c r="J12" s="7">
        <f t="shared" si="1"/>
        <v>309.14099999999996</v>
      </c>
      <c r="K12" s="20">
        <f>COS($D$61)*H12-SIN($D$61)*F12</f>
        <v>-1800.0570189073428</v>
      </c>
      <c r="L12" s="18">
        <f t="shared" si="7"/>
        <v>422.90359410638484</v>
      </c>
      <c r="M12" s="18">
        <f t="shared" si="7"/>
        <v>309.14099999999996</v>
      </c>
      <c r="N12" s="18">
        <f t="shared" si="7"/>
        <v>-165.88203793615116</v>
      </c>
      <c r="O12" s="21">
        <f>COS($N$69+65*PI()/180)*L12-SIN($N$69+65*PI()/180)*N12</f>
        <v>-181.7416852790913</v>
      </c>
      <c r="P12" s="22">
        <f t="shared" si="3"/>
        <v>309.14099999999996</v>
      </c>
      <c r="Q12" s="23">
        <f>SIN($N$69+65*PI()/180)*L12+COS($N$69+65*PI()/180)*N12</f>
        <v>416.33431308248464</v>
      </c>
    </row>
    <row r="13" spans="1:17" ht="13.5">
      <c r="A13" s="1"/>
      <c r="B13" s="1" t="s">
        <v>108</v>
      </c>
      <c r="C13" s="16">
        <v>8770.757666666666</v>
      </c>
      <c r="D13" s="1">
        <v>-92.58566666666665</v>
      </c>
      <c r="E13" s="17">
        <v>460.54033333333336</v>
      </c>
      <c r="F13" s="18">
        <f t="shared" si="6"/>
        <v>8853.019176252415</v>
      </c>
      <c r="G13" s="18">
        <f t="shared" si="6"/>
        <v>307.7183333333333</v>
      </c>
      <c r="H13" s="18">
        <f t="shared" si="6"/>
        <v>851.0720785739395</v>
      </c>
      <c r="I13" s="19">
        <f>COS($D$61)*F13+SIN($D$61)*H13</f>
        <v>8813.725200447267</v>
      </c>
      <c r="J13" s="7">
        <f t="shared" si="1"/>
        <v>307.7183333333333</v>
      </c>
      <c r="K13" s="20">
        <f>COS($D$61)*H13-SIN($D$61)*F13</f>
        <v>-1191.016502413786</v>
      </c>
      <c r="L13" s="18">
        <f t="shared" si="7"/>
        <v>-157.63365920877004</v>
      </c>
      <c r="M13" s="18">
        <f t="shared" si="7"/>
        <v>307.7183333333333</v>
      </c>
      <c r="N13" s="18">
        <f t="shared" si="7"/>
        <v>443.1584785574057</v>
      </c>
      <c r="O13" s="21">
        <f>COS($N$69+65*PI()/180)*L13-SIN($N$69+65*PI()/180)*N13</f>
        <v>-201.89653595848426</v>
      </c>
      <c r="P13" s="22">
        <f t="shared" si="3"/>
        <v>307.7183333333333</v>
      </c>
      <c r="Q13" s="23">
        <f>SIN($N$69+65*PI()/180)*L13+COS($N$69+65*PI()/180)*N13</f>
        <v>-424.82419469802534</v>
      </c>
    </row>
    <row r="14" spans="1:17" ht="13.5">
      <c r="A14" s="1"/>
      <c r="C14" s="16"/>
      <c r="D14" s="1"/>
      <c r="E14" s="17"/>
      <c r="F14" s="18"/>
      <c r="G14" s="18"/>
      <c r="H14" s="18"/>
      <c r="I14" s="19"/>
      <c r="K14" s="20"/>
      <c r="L14" s="18"/>
      <c r="M14" s="18"/>
      <c r="N14" s="18"/>
      <c r="O14" s="21"/>
      <c r="P14" s="22"/>
      <c r="Q14" s="23"/>
    </row>
    <row r="15" spans="1:18" ht="13.5">
      <c r="A15" s="1" t="s">
        <v>109</v>
      </c>
      <c r="B15" s="1" t="s">
        <v>110</v>
      </c>
      <c r="C15" s="16">
        <v>7154.655333333333</v>
      </c>
      <c r="D15" s="1">
        <v>5.850666666666666</v>
      </c>
      <c r="E15" s="17">
        <v>288.616</v>
      </c>
      <c r="F15" s="18">
        <f aca="true" t="shared" si="8" ref="F15:H17">C15+I$56</f>
        <v>7236.916842919082</v>
      </c>
      <c r="G15" s="18">
        <f t="shared" si="8"/>
        <v>406.1546666666666</v>
      </c>
      <c r="H15" s="18">
        <f t="shared" si="8"/>
        <v>679.1477452406061</v>
      </c>
      <c r="I15" s="19">
        <f>COS($D$61)*F15+SIN($D$61)*H15</f>
        <v>7201.017449547777</v>
      </c>
      <c r="J15" s="7">
        <f t="shared" si="1"/>
        <v>406.1546666666666</v>
      </c>
      <c r="K15" s="20">
        <f>COS($D$61)*H15-SIN($D$61)*F15</f>
        <v>-989.7245791126529</v>
      </c>
      <c r="L15" s="18">
        <f aca="true" t="shared" si="9" ref="L15:N17">I15-N$58</f>
        <v>109.33325679075915</v>
      </c>
      <c r="M15" s="18">
        <f t="shared" si="9"/>
        <v>406.1546666666666</v>
      </c>
      <c r="N15" s="18">
        <f t="shared" si="9"/>
        <v>-39.695226996943006</v>
      </c>
      <c r="O15" s="21">
        <f>COS($N$70+3*PI()/2)*L15-SIN($N$70+3*PI()/2)*N15</f>
        <v>0.09286426838860251</v>
      </c>
      <c r="P15" s="22">
        <f t="shared" si="3"/>
        <v>406.1546666666666</v>
      </c>
      <c r="Q15" s="23">
        <f>SIN($N$70+3*PI()/2)*L15+COS($N$70+3*PI()/2)*N15</f>
        <v>-116.31622183960657</v>
      </c>
      <c r="R15" s="1" t="s">
        <v>111</v>
      </c>
    </row>
    <row r="16" spans="1:18" ht="13.5">
      <c r="A16" s="1"/>
      <c r="B16" s="1" t="s">
        <v>112</v>
      </c>
      <c r="C16" s="16">
        <v>6914.854333333334</v>
      </c>
      <c r="D16" s="1">
        <v>5.506</v>
      </c>
      <c r="E16" s="17">
        <v>317.2766666666667</v>
      </c>
      <c r="F16" s="18">
        <f t="shared" si="8"/>
        <v>6997.115842919083</v>
      </c>
      <c r="G16" s="18">
        <f t="shared" si="8"/>
        <v>405.80999999999995</v>
      </c>
      <c r="H16" s="18">
        <f t="shared" si="8"/>
        <v>707.8084119072729</v>
      </c>
      <c r="I16" s="19">
        <f>COS($D$61)*F16+SIN($D$61)*H16</f>
        <v>6974.0782632702985</v>
      </c>
      <c r="J16" s="7">
        <f t="shared" si="1"/>
        <v>405.80999999999995</v>
      </c>
      <c r="K16" s="20">
        <f>COS($D$61)*H16-SIN($D$61)*F16</f>
        <v>-907.1136891132494</v>
      </c>
      <c r="L16" s="18">
        <f t="shared" si="9"/>
        <v>-117.6059294867191</v>
      </c>
      <c r="M16" s="18">
        <f t="shared" si="9"/>
        <v>405.80999999999995</v>
      </c>
      <c r="N16" s="18">
        <f t="shared" si="9"/>
        <v>42.91566300246052</v>
      </c>
      <c r="O16" s="21">
        <f>COS($N$70+3*PI()/2)*L16-SIN($N$70+3*PI()/2)*N16</f>
        <v>0.10393498055088912</v>
      </c>
      <c r="P16" s="22">
        <f t="shared" si="3"/>
        <v>405.80999999999995</v>
      </c>
      <c r="Q16" s="23">
        <f>SIN($N$70+3*PI()/2)*L16+COS($N$70+3*PI()/2)*N16</f>
        <v>125.19144531035546</v>
      </c>
      <c r="R16" s="1" t="s">
        <v>113</v>
      </c>
    </row>
    <row r="17" spans="1:18" ht="13.5">
      <c r="A17" s="1"/>
      <c r="B17" s="1" t="s">
        <v>114</v>
      </c>
      <c r="C17" s="16">
        <v>7196.945</v>
      </c>
      <c r="D17" s="1">
        <v>-341.2773333333334</v>
      </c>
      <c r="E17" s="17">
        <v>651.834</v>
      </c>
      <c r="F17" s="18">
        <f t="shared" si="8"/>
        <v>7279.206509585749</v>
      </c>
      <c r="G17" s="18">
        <f t="shared" si="8"/>
        <v>59.026666666666586</v>
      </c>
      <c r="H17" s="18">
        <f t="shared" si="8"/>
        <v>1042.3657452406062</v>
      </c>
      <c r="I17" s="19">
        <f>COS($D$61)*F17+SIN($D$61)*H17</f>
        <v>7325.0531669381035</v>
      </c>
      <c r="J17" s="7">
        <f t="shared" si="1"/>
        <v>59.026666666666586</v>
      </c>
      <c r="K17" s="20">
        <f>COS($D$61)*H17-SIN($D$61)*F17</f>
        <v>-645.7320323296668</v>
      </c>
      <c r="L17" s="18">
        <f t="shared" si="9"/>
        <v>233.36897418108583</v>
      </c>
      <c r="M17" s="18">
        <f t="shared" si="9"/>
        <v>59.026666666666586</v>
      </c>
      <c r="N17" s="18">
        <f t="shared" si="9"/>
        <v>304.2973197860431</v>
      </c>
      <c r="O17" s="21">
        <f>COS($N$70+3*PI()/2)*L17-SIN($N$70+3*PI()/2)*N17</f>
        <v>365.76283592505365</v>
      </c>
      <c r="P17" s="22">
        <f t="shared" si="3"/>
        <v>59.026666666666586</v>
      </c>
      <c r="Q17" s="23">
        <f>SIN($N$70+3*PI()/2)*L17+COS($N$70+3*PI()/2)*N17</f>
        <v>-115.21929003150443</v>
      </c>
      <c r="R17" s="1" t="s">
        <v>115</v>
      </c>
    </row>
    <row r="18" spans="1:17" ht="13.5">
      <c r="A18" s="1"/>
      <c r="C18" s="16"/>
      <c r="D18" s="1"/>
      <c r="E18" s="17"/>
      <c r="F18" s="18"/>
      <c r="G18" s="18"/>
      <c r="H18" s="18"/>
      <c r="I18" s="19"/>
      <c r="K18" s="20"/>
      <c r="L18" s="18"/>
      <c r="M18" s="18"/>
      <c r="N18" s="18"/>
      <c r="O18" s="21"/>
      <c r="P18" s="22"/>
      <c r="Q18" s="23"/>
    </row>
    <row r="19" spans="1:17" ht="13.5">
      <c r="A19" s="1" t="s">
        <v>116</v>
      </c>
      <c r="B19" s="1" t="s">
        <v>117</v>
      </c>
      <c r="C19" s="16">
        <v>6607.156666666667</v>
      </c>
      <c r="D19" s="1">
        <v>5.392</v>
      </c>
      <c r="E19" s="17">
        <v>351.267</v>
      </c>
      <c r="F19" s="18">
        <f aca="true" t="shared" si="10" ref="F19:H21">C19+I$56</f>
        <v>6689.418176252416</v>
      </c>
      <c r="G19" s="18">
        <f t="shared" si="10"/>
        <v>405.69599999999997</v>
      </c>
      <c r="H19" s="18">
        <f t="shared" si="10"/>
        <v>741.7987452406062</v>
      </c>
      <c r="I19" s="19">
        <f>COS($D$61)*F19+SIN($D$61)*H19</f>
        <v>6682.248672758096</v>
      </c>
      <c r="J19" s="7">
        <f t="shared" si="1"/>
        <v>405.69599999999997</v>
      </c>
      <c r="K19" s="20">
        <f>COS($D$61)*H19-SIN($D$61)*F19</f>
        <v>-803.8243531017231</v>
      </c>
      <c r="L19" s="18">
        <f aca="true" t="shared" si="11" ref="L19:N21">I19-N$59</f>
        <v>107.39542143332801</v>
      </c>
      <c r="M19" s="18">
        <f t="shared" si="11"/>
        <v>405.69599999999997</v>
      </c>
      <c r="N19" s="18">
        <f t="shared" si="11"/>
        <v>-41.906079815130965</v>
      </c>
      <c r="O19" s="21">
        <f>COS($N$70+3*PI()/2)*L19-SIN($N$70+3*PI()/2)*N19</f>
        <v>-2.647436537196498</v>
      </c>
      <c r="P19" s="22">
        <f t="shared" si="3"/>
        <v>405.69599999999997</v>
      </c>
      <c r="Q19" s="23">
        <f>SIN($N$70+3*PI()/2)*L19+COS($N$70+3*PI()/2)*N19</f>
        <v>-115.25140845167911</v>
      </c>
    </row>
    <row r="20" spans="1:17" ht="13.5">
      <c r="A20" s="1"/>
      <c r="B20" s="1" t="s">
        <v>118</v>
      </c>
      <c r="C20" s="16">
        <v>6367.495333333332</v>
      </c>
      <c r="D20" s="1">
        <v>5.3756666666666675</v>
      </c>
      <c r="E20" s="17">
        <v>379.676</v>
      </c>
      <c r="F20" s="18">
        <f t="shared" si="10"/>
        <v>6449.7568429190815</v>
      </c>
      <c r="G20" s="18">
        <f t="shared" si="10"/>
        <v>405.67966666666666</v>
      </c>
      <c r="H20" s="18">
        <f t="shared" si="10"/>
        <v>770.2077452406062</v>
      </c>
      <c r="I20" s="19">
        <f>COS($D$61)*F20+SIN($D$61)*H20</f>
        <v>6455.388057291891</v>
      </c>
      <c r="J20" s="7">
        <f t="shared" si="1"/>
        <v>405.67966666666666</v>
      </c>
      <c r="K20" s="20">
        <f>COS($D$61)*H20-SIN($D$61)*F20</f>
        <v>-721.4903557105712</v>
      </c>
      <c r="L20" s="18">
        <f t="shared" si="11"/>
        <v>-119.46519403287766</v>
      </c>
      <c r="M20" s="18">
        <f t="shared" si="11"/>
        <v>405.67966666666666</v>
      </c>
      <c r="N20" s="18">
        <f t="shared" si="11"/>
        <v>40.427917576020945</v>
      </c>
      <c r="O20" s="21">
        <f>COS($N$70+3*PI()/2)*L20-SIN($N$70+3*PI()/2)*N20</f>
        <v>-2.8696869656257533</v>
      </c>
      <c r="P20" s="22">
        <f t="shared" si="3"/>
        <v>405.67966666666666</v>
      </c>
      <c r="Q20" s="23">
        <f>SIN($N$70+3*PI()/2)*L20+COS($N$70+3*PI()/2)*N20</f>
        <v>126.08772343716088</v>
      </c>
    </row>
    <row r="21" spans="1:17" ht="13.5">
      <c r="A21" s="1"/>
      <c r="B21" s="1" t="s">
        <v>119</v>
      </c>
      <c r="C21" s="16">
        <v>6649.327333333334</v>
      </c>
      <c r="D21" s="1">
        <v>-338.397</v>
      </c>
      <c r="E21" s="17">
        <v>716.723</v>
      </c>
      <c r="F21" s="18">
        <f t="shared" si="10"/>
        <v>6731.588842919083</v>
      </c>
      <c r="G21" s="18">
        <f t="shared" si="10"/>
        <v>61.90699999999998</v>
      </c>
      <c r="H21" s="18">
        <f t="shared" si="10"/>
        <v>1107.254745240606</v>
      </c>
      <c r="I21" s="19">
        <f>COS($D$61)*F21+SIN($D$61)*H21</f>
        <v>6806.6790848208675</v>
      </c>
      <c r="J21" s="7">
        <f t="shared" si="1"/>
        <v>61.90699999999998</v>
      </c>
      <c r="K21" s="20">
        <f>COS($D$61)*H21-SIN($D$61)*F21</f>
        <v>-457.62567370360625</v>
      </c>
      <c r="L21" s="18">
        <f t="shared" si="11"/>
        <v>231.82583349609922</v>
      </c>
      <c r="M21" s="18">
        <f t="shared" si="11"/>
        <v>61.90699999999998</v>
      </c>
      <c r="N21" s="18">
        <f t="shared" si="11"/>
        <v>304.2925995829859</v>
      </c>
      <c r="O21" s="21">
        <f>COS($N$70+3*PI()/2)*L21-SIN($N$70+3*PI()/2)*N21</f>
        <v>365.2306151868214</v>
      </c>
      <c r="P21" s="22">
        <f t="shared" si="3"/>
        <v>61.90699999999998</v>
      </c>
      <c r="Q21" s="23">
        <f>SIN($N$70+3*PI()/2)*L21+COS($N$70+3*PI()/2)*N21</f>
        <v>-113.77082652151417</v>
      </c>
    </row>
    <row r="22" spans="1:17" ht="13.5">
      <c r="A22" s="1"/>
      <c r="C22" s="16"/>
      <c r="D22" s="1"/>
      <c r="E22" s="17"/>
      <c r="F22" s="18"/>
      <c r="G22" s="18"/>
      <c r="H22" s="18"/>
      <c r="I22" s="19"/>
      <c r="K22" s="20"/>
      <c r="L22" s="18"/>
      <c r="M22" s="18"/>
      <c r="N22" s="18"/>
      <c r="O22" s="21"/>
      <c r="P22" s="22"/>
      <c r="Q22" s="23"/>
    </row>
    <row r="23" spans="1:17" ht="13.5">
      <c r="A23" s="1" t="s">
        <v>120</v>
      </c>
      <c r="B23" s="1" t="s">
        <v>121</v>
      </c>
      <c r="C23" s="16">
        <v>6063.891333333333</v>
      </c>
      <c r="D23" s="1">
        <v>5.323666666666667</v>
      </c>
      <c r="E23" s="17">
        <v>418.2463333333333</v>
      </c>
      <c r="F23" s="18">
        <f aca="true" t="shared" si="12" ref="F23:H25">C23+I$56</f>
        <v>6146.152842919082</v>
      </c>
      <c r="G23" s="18">
        <f t="shared" si="12"/>
        <v>405.62766666666664</v>
      </c>
      <c r="H23" s="18">
        <f t="shared" si="12"/>
        <v>808.7780785739395</v>
      </c>
      <c r="I23" s="19">
        <f>COS($D$61)*F23+SIN($D$61)*H23</f>
        <v>6168.589024494353</v>
      </c>
      <c r="J23" s="7">
        <f t="shared" si="1"/>
        <v>405.62766666666664</v>
      </c>
      <c r="K23" s="20">
        <f>COS($D$61)*H23-SIN($D$61)*F23</f>
        <v>-614.6756834232827</v>
      </c>
      <c r="L23" s="18">
        <f aca="true" t="shared" si="13" ref="L23:N25">I23-N$60</f>
        <v>110.56671460183406</v>
      </c>
      <c r="M23" s="18">
        <f t="shared" si="13"/>
        <v>405.62766666666664</v>
      </c>
      <c r="N23" s="18">
        <f t="shared" si="13"/>
        <v>-40.8684889658083</v>
      </c>
      <c r="O23" s="21">
        <f>COS($N$70+3*PI()/2)*L23-SIN($N$70+3*PI()/2)*N23</f>
        <v>-0.5877739286728527</v>
      </c>
      <c r="P23" s="22">
        <f t="shared" si="3"/>
        <v>405.62766666666664</v>
      </c>
      <c r="Q23" s="23">
        <f>SIN($N$70+3*PI()/2)*L23+COS($N$70+3*PI()/2)*N23</f>
        <v>-117.87657226947427</v>
      </c>
    </row>
    <row r="24" spans="1:17" ht="13.5">
      <c r="A24" s="1"/>
      <c r="B24" s="1" t="s">
        <v>122</v>
      </c>
      <c r="C24" s="16">
        <v>5824.171666666666</v>
      </c>
      <c r="D24" s="1">
        <v>5.291666666666667</v>
      </c>
      <c r="E24" s="17">
        <v>446.704</v>
      </c>
      <c r="F24" s="18">
        <f t="shared" si="12"/>
        <v>5906.433176252415</v>
      </c>
      <c r="G24" s="18">
        <f t="shared" si="12"/>
        <v>405.59566666666666</v>
      </c>
      <c r="H24" s="18">
        <f t="shared" si="12"/>
        <v>837.2357452406062</v>
      </c>
      <c r="I24" s="19">
        <f>COS($D$61)*F24+SIN($D$61)*H24</f>
        <v>5941.682716280818</v>
      </c>
      <c r="J24" s="7">
        <f t="shared" si="1"/>
        <v>405.59566666666666</v>
      </c>
      <c r="K24" s="20">
        <f>COS($D$61)*H24-SIN($D$61)*F24</f>
        <v>-532.2809950520469</v>
      </c>
      <c r="L24" s="18">
        <f t="shared" si="13"/>
        <v>-116.33959361170128</v>
      </c>
      <c r="M24" s="18">
        <f t="shared" si="13"/>
        <v>405.59566666666666</v>
      </c>
      <c r="N24" s="18">
        <f t="shared" si="13"/>
        <v>41.52619940542752</v>
      </c>
      <c r="O24" s="21">
        <f>COS($N$70+3*PI()/2)*L24-SIN($N$70+3*PI()/2)*N24</f>
        <v>-0.7686213309596397</v>
      </c>
      <c r="P24" s="22">
        <f t="shared" si="3"/>
        <v>405.59566666666666</v>
      </c>
      <c r="Q24" s="23">
        <f>SIN($N$70+3*PI()/2)*L24+COS($N$70+3*PI()/2)*N24</f>
        <v>123.52625429456171</v>
      </c>
    </row>
    <row r="25" spans="1:17" ht="13.5">
      <c r="A25" s="1"/>
      <c r="B25" s="1" t="s">
        <v>123</v>
      </c>
      <c r="C25" s="16">
        <v>6106.696666666667</v>
      </c>
      <c r="D25" s="1">
        <v>-340.2183333333333</v>
      </c>
      <c r="E25" s="17">
        <v>781.7086666666668</v>
      </c>
      <c r="F25" s="18">
        <f t="shared" si="12"/>
        <v>6188.958176252416</v>
      </c>
      <c r="G25" s="18">
        <f t="shared" si="12"/>
        <v>60.08566666666667</v>
      </c>
      <c r="H25" s="18">
        <f t="shared" si="12"/>
        <v>1172.240411907273</v>
      </c>
      <c r="I25" s="19">
        <f>COS($D$61)*F25+SIN($D$61)*H25</f>
        <v>6293.182550633093</v>
      </c>
      <c r="J25" s="7">
        <f t="shared" si="1"/>
        <v>60.08566666666667</v>
      </c>
      <c r="K25" s="20">
        <f>COS($D$61)*H25-SIN($D$61)*F25</f>
        <v>-270.5628856981705</v>
      </c>
      <c r="L25" s="18">
        <f t="shared" si="13"/>
        <v>235.1602407405744</v>
      </c>
      <c r="M25" s="18">
        <f t="shared" si="13"/>
        <v>60.08566666666667</v>
      </c>
      <c r="N25" s="18">
        <f t="shared" si="13"/>
        <v>303.244308759304</v>
      </c>
      <c r="O25" s="21">
        <f>COS($N$70+3*PI()/2)*L25-SIN($N$70+3*PI()/2)*N25</f>
        <v>365.3859784790315</v>
      </c>
      <c r="P25" s="22">
        <f t="shared" si="3"/>
        <v>60.08566666666667</v>
      </c>
      <c r="Q25" s="23">
        <f>SIN($N$70+3*PI()/2)*L25+COS($N$70+3*PI()/2)*N25</f>
        <v>-117.26268098160521</v>
      </c>
    </row>
    <row r="26" spans="1:17" ht="13.5">
      <c r="A26" s="1"/>
      <c r="C26" s="16"/>
      <c r="D26" s="1"/>
      <c r="E26" s="17"/>
      <c r="F26" s="18"/>
      <c r="G26" s="18"/>
      <c r="H26" s="18"/>
      <c r="I26" s="19"/>
      <c r="K26" s="20"/>
      <c r="L26" s="18"/>
      <c r="M26" s="18"/>
      <c r="N26" s="18"/>
      <c r="O26" s="21"/>
      <c r="P26" s="22"/>
      <c r="Q26" s="23"/>
    </row>
    <row r="27" spans="1:18" ht="13.5">
      <c r="A27" s="1" t="s">
        <v>124</v>
      </c>
      <c r="B27" s="1" t="s">
        <v>125</v>
      </c>
      <c r="C27" s="24">
        <v>2097.775</v>
      </c>
      <c r="D27" s="25">
        <v>-86.702</v>
      </c>
      <c r="E27" s="26">
        <v>121.044</v>
      </c>
      <c r="F27" s="18">
        <f aca="true" t="shared" si="14" ref="F27:H29">C27+I$56</f>
        <v>2180.0365095857487</v>
      </c>
      <c r="G27" s="18">
        <f t="shared" si="14"/>
        <v>313.602</v>
      </c>
      <c r="H27" s="18">
        <f t="shared" si="14"/>
        <v>511.5757452406062</v>
      </c>
      <c r="I27" s="19">
        <f>COS($D$61)*F27+SIN($D$61)*H27</f>
        <v>2239.2562069327664</v>
      </c>
      <c r="J27" s="7">
        <f t="shared" si="1"/>
        <v>313.602</v>
      </c>
      <c r="K27" s="20">
        <f>COS($D$61)*H27-SIN($D$61)*F27</f>
        <v>0.7523020516600241</v>
      </c>
      <c r="L27" s="18">
        <f aca="true" t="shared" si="15" ref="L27:N29">I27-N$61</f>
        <v>90.45620693276624</v>
      </c>
      <c r="M27" s="18">
        <f t="shared" si="15"/>
        <v>313.602</v>
      </c>
      <c r="N27" s="18">
        <f t="shared" si="15"/>
        <v>0.7523020516600241</v>
      </c>
      <c r="O27" s="21">
        <f>COS($N$71+3*PI()/2)*L27-SIN($N$71+3*PI()/2)*N27</f>
        <v>0.7523020516600074</v>
      </c>
      <c r="P27" s="22">
        <f t="shared" si="3"/>
        <v>313.602</v>
      </c>
      <c r="Q27" s="23">
        <f>SIN($N$71+3*PI()/2)*L27+COS($N$71+3*PI()/2)*N27</f>
        <v>-90.45620693276624</v>
      </c>
      <c r="R27" s="1" t="s">
        <v>126</v>
      </c>
    </row>
    <row r="28" spans="1:18" ht="13.5">
      <c r="A28" s="1"/>
      <c r="B28" s="1" t="s">
        <v>127</v>
      </c>
      <c r="C28" s="24">
        <v>1930.9886666666669</v>
      </c>
      <c r="D28" s="25">
        <v>-86.765</v>
      </c>
      <c r="E28" s="26">
        <v>81.29466666666666</v>
      </c>
      <c r="F28" s="18">
        <f t="shared" si="14"/>
        <v>2013.2501762524157</v>
      </c>
      <c r="G28" s="18">
        <f t="shared" si="14"/>
        <v>313.539</v>
      </c>
      <c r="H28" s="18">
        <f t="shared" si="14"/>
        <v>471.82641190727287</v>
      </c>
      <c r="I28" s="19">
        <f>COS($D$61)*F28+SIN($D$61)*H28</f>
        <v>2067.7998996775145</v>
      </c>
      <c r="J28" s="7">
        <f t="shared" si="1"/>
        <v>313.539</v>
      </c>
      <c r="K28" s="20">
        <f>COS($D$61)*H28-SIN($D$61)*F28</f>
        <v>0.1002363994090274</v>
      </c>
      <c r="L28" s="18">
        <f t="shared" si="15"/>
        <v>-81.00010032248565</v>
      </c>
      <c r="M28" s="18">
        <f t="shared" si="15"/>
        <v>313.539</v>
      </c>
      <c r="N28" s="18">
        <f t="shared" si="15"/>
        <v>0.1002363994090274</v>
      </c>
      <c r="O28" s="21">
        <f>COS($N$71+3*PI()/2)*L28-SIN($N$71+3*PI()/2)*N28</f>
        <v>0.10023639940904228</v>
      </c>
      <c r="P28" s="22">
        <f t="shared" si="3"/>
        <v>313.539</v>
      </c>
      <c r="Q28" s="23">
        <f>SIN($N$71+3*PI()/2)*L28+COS($N$71+3*PI()/2)*N28</f>
        <v>81.00010032248565</v>
      </c>
      <c r="R28" s="1" t="s">
        <v>128</v>
      </c>
    </row>
    <row r="29" spans="1:18" ht="13.5">
      <c r="A29" s="1"/>
      <c r="B29" s="1" t="s">
        <v>129</v>
      </c>
      <c r="C29" s="24">
        <v>2034.5323333333333</v>
      </c>
      <c r="D29" s="25">
        <v>-341.86899999999997</v>
      </c>
      <c r="E29" s="26">
        <v>387.9636666666667</v>
      </c>
      <c r="F29" s="18">
        <f t="shared" si="14"/>
        <v>2116.793842919082</v>
      </c>
      <c r="G29" s="18">
        <f t="shared" si="14"/>
        <v>58.435</v>
      </c>
      <c r="H29" s="18">
        <f t="shared" si="14"/>
        <v>778.4954119072729</v>
      </c>
      <c r="I29" s="19">
        <f>COS($D$61)*F29+SIN($D$61)*H29</f>
        <v>2238.573811628532</v>
      </c>
      <c r="J29" s="7">
        <f t="shared" si="1"/>
        <v>58.435</v>
      </c>
      <c r="K29" s="20">
        <f>COS($D$61)*H29-SIN($D$61)*F29</f>
        <v>275.0610289948696</v>
      </c>
      <c r="L29" s="18">
        <f t="shared" si="15"/>
        <v>89.7738116285318</v>
      </c>
      <c r="M29" s="18">
        <f t="shared" si="15"/>
        <v>58.435</v>
      </c>
      <c r="N29" s="18">
        <f t="shared" si="15"/>
        <v>275.0610289948696</v>
      </c>
      <c r="O29" s="21">
        <f>COS($N$71+3*PI()/2)*L29-SIN($N$71+3*PI()/2)*N29</f>
        <v>275.0610289948696</v>
      </c>
      <c r="P29" s="22">
        <f t="shared" si="3"/>
        <v>58.435</v>
      </c>
      <c r="Q29" s="23">
        <f>SIN($N$71+3*PI()/2)*L29+COS($N$71+3*PI()/2)*N29</f>
        <v>-89.77381162853186</v>
      </c>
      <c r="R29" s="1" t="s">
        <v>130</v>
      </c>
    </row>
    <row r="30" spans="1:17" ht="13.5">
      <c r="A30" s="1"/>
      <c r="C30" s="19"/>
      <c r="D30" s="7"/>
      <c r="E30" s="20"/>
      <c r="F30" s="18"/>
      <c r="G30" s="18"/>
      <c r="H30" s="18"/>
      <c r="I30" s="19"/>
      <c r="K30" s="20"/>
      <c r="L30" s="18"/>
      <c r="M30" s="18"/>
      <c r="N30" s="18"/>
      <c r="O30" s="21"/>
      <c r="P30" s="22"/>
      <c r="Q30" s="23"/>
    </row>
    <row r="31" spans="1:17" ht="13.5">
      <c r="A31" s="1" t="s">
        <v>131</v>
      </c>
      <c r="B31" s="1" t="s">
        <v>132</v>
      </c>
      <c r="C31" s="16">
        <v>1598.5376666666664</v>
      </c>
      <c r="D31" s="1">
        <v>4.520333333333333</v>
      </c>
      <c r="E31" s="17">
        <v>3.143333333333333</v>
      </c>
      <c r="F31" s="18">
        <f aca="true" t="shared" si="16" ref="F31:H33">C31+I$56</f>
        <v>1680.7991762524152</v>
      </c>
      <c r="G31" s="18">
        <f t="shared" si="16"/>
        <v>404.8243333333333</v>
      </c>
      <c r="H31" s="18">
        <f t="shared" si="16"/>
        <v>393.6750785739395</v>
      </c>
      <c r="I31" s="19">
        <f>COS($D$61)*F31+SIN($D$61)*H31</f>
        <v>1726.2867422545614</v>
      </c>
      <c r="J31" s="7">
        <f t="shared" si="1"/>
        <v>404.8243333333333</v>
      </c>
      <c r="K31" s="20">
        <f>COS($D$61)*H31-SIN($D$61)*F31</f>
        <v>-0.147976782166495</v>
      </c>
      <c r="L31" s="18">
        <f aca="true" t="shared" si="17" ref="L31:N33">I31-N$62</f>
        <v>127.48674225456148</v>
      </c>
      <c r="M31" s="18">
        <f t="shared" si="17"/>
        <v>404.8243333333333</v>
      </c>
      <c r="N31" s="18">
        <f t="shared" si="17"/>
        <v>-0.147976782166495</v>
      </c>
      <c r="O31" s="21">
        <f>COS($N$71+3*PI()/2)*L31-SIN($N$71+3*PI()/2)*N31</f>
        <v>-0.14797678216651844</v>
      </c>
      <c r="P31" s="22">
        <f t="shared" si="3"/>
        <v>404.8243333333333</v>
      </c>
      <c r="Q31" s="23">
        <f>SIN($N$71+3*PI()/2)*L31+COS($N$71+3*PI()/2)*N31</f>
        <v>-127.48674225456148</v>
      </c>
    </row>
    <row r="32" spans="1:17" ht="13.5">
      <c r="A32" s="1"/>
      <c r="B32" s="1" t="s">
        <v>133</v>
      </c>
      <c r="C32" s="16">
        <v>1363.354</v>
      </c>
      <c r="D32" s="1">
        <v>4.389333333333333</v>
      </c>
      <c r="E32" s="17">
        <v>-51.75</v>
      </c>
      <c r="F32" s="18">
        <f t="shared" si="16"/>
        <v>1445.615509585749</v>
      </c>
      <c r="G32" s="18">
        <f t="shared" si="16"/>
        <v>404.6933333333333</v>
      </c>
      <c r="H32" s="18">
        <f t="shared" si="16"/>
        <v>338.7817452406062</v>
      </c>
      <c r="I32" s="19">
        <f>COS($D$61)*F32+SIN($D$61)*H32</f>
        <v>1484.7818927376507</v>
      </c>
      <c r="J32" s="7">
        <f t="shared" si="1"/>
        <v>404.6933333333333</v>
      </c>
      <c r="K32" s="20">
        <f>COS($D$61)*H32-SIN($D$61)*F32</f>
        <v>0.05883481388042355</v>
      </c>
      <c r="L32" s="18">
        <f t="shared" si="17"/>
        <v>-114.0181072623493</v>
      </c>
      <c r="M32" s="18">
        <f t="shared" si="17"/>
        <v>404.6933333333333</v>
      </c>
      <c r="N32" s="18">
        <f t="shared" si="17"/>
        <v>0.05883481388042355</v>
      </c>
      <c r="O32" s="21">
        <f>COS($N$71+3*PI()/2)*L32-SIN($N$71+3*PI()/2)*N32</f>
        <v>0.058834813880444495</v>
      </c>
      <c r="P32" s="22">
        <f t="shared" si="3"/>
        <v>404.6933333333333</v>
      </c>
      <c r="Q32" s="23">
        <f>SIN($N$71+3*PI()/2)*L32+COS($N$71+3*PI()/2)*N32</f>
        <v>114.0181072623493</v>
      </c>
    </row>
    <row r="33" spans="1:17" ht="13.5">
      <c r="A33" s="1"/>
      <c r="B33" s="1" t="s">
        <v>134</v>
      </c>
      <c r="C33" s="16">
        <v>1514.42</v>
      </c>
      <c r="D33" s="1">
        <v>-341.34633333333335</v>
      </c>
      <c r="E33" s="17">
        <v>359.508</v>
      </c>
      <c r="F33" s="18">
        <f t="shared" si="16"/>
        <v>1596.681509585749</v>
      </c>
      <c r="G33" s="18">
        <f t="shared" si="16"/>
        <v>58.957666666666626</v>
      </c>
      <c r="H33" s="18">
        <f t="shared" si="16"/>
        <v>750.0397452406062</v>
      </c>
      <c r="I33" s="19">
        <f>COS($D$61)*F33+SIN($D$61)*H33</f>
        <v>1725.68496858584</v>
      </c>
      <c r="J33" s="7">
        <f t="shared" si="1"/>
        <v>58.957666666666626</v>
      </c>
      <c r="K33" s="20">
        <f>COS($D$61)*H33-SIN($D$61)*F33</f>
        <v>366.00936011324586</v>
      </c>
      <c r="L33" s="18">
        <f t="shared" si="17"/>
        <v>126.88496858583994</v>
      </c>
      <c r="M33" s="18">
        <f t="shared" si="17"/>
        <v>58.957666666666626</v>
      </c>
      <c r="N33" s="18">
        <f t="shared" si="17"/>
        <v>366.00936011324586</v>
      </c>
      <c r="O33" s="21">
        <f>COS($N$71+3*PI()/2)*L33-SIN($N$71+3*PI()/2)*N33</f>
        <v>366.00936011324586</v>
      </c>
      <c r="P33" s="22">
        <f t="shared" si="3"/>
        <v>58.957666666666626</v>
      </c>
      <c r="Q33" s="23">
        <f>SIN($N$71+3*PI()/2)*L33+COS($N$71+3*PI()/2)*N33</f>
        <v>-126.88496858584001</v>
      </c>
    </row>
    <row r="34" spans="1:17" ht="13.5">
      <c r="A34" s="1"/>
      <c r="C34" s="16"/>
      <c r="D34" s="1"/>
      <c r="E34" s="17"/>
      <c r="F34" s="18"/>
      <c r="G34" s="18"/>
      <c r="H34" s="18"/>
      <c r="I34" s="19"/>
      <c r="K34" s="20"/>
      <c r="L34" s="18"/>
      <c r="M34" s="18"/>
      <c r="N34" s="18"/>
      <c r="O34" s="21"/>
      <c r="P34" s="22"/>
      <c r="Q34" s="23"/>
    </row>
    <row r="35" spans="1:18" ht="13.5">
      <c r="A35" s="1" t="s">
        <v>135</v>
      </c>
      <c r="B35" s="1" t="s">
        <v>136</v>
      </c>
      <c r="C35" s="16">
        <v>458.1416666666667</v>
      </c>
      <c r="D35" s="1">
        <v>0.25266666666666665</v>
      </c>
      <c r="E35" s="17">
        <v>-827.155</v>
      </c>
      <c r="F35" s="18">
        <f aca="true" t="shared" si="18" ref="F35:H37">C35+I$56</f>
        <v>540.4031762524155</v>
      </c>
      <c r="G35" s="18">
        <f t="shared" si="18"/>
        <v>400.5566666666666</v>
      </c>
      <c r="H35" s="18">
        <f t="shared" si="18"/>
        <v>-436.6232547593938</v>
      </c>
      <c r="I35" s="19">
        <f>COS($D$61)*F35+SIN($D$61)*H35</f>
        <v>426.54580609958845</v>
      </c>
      <c r="J35" s="7">
        <f t="shared" si="1"/>
        <v>400.5566666666666</v>
      </c>
      <c r="K35" s="20">
        <f>COS($D$61)*H35-SIN($D$61)*F35</f>
        <v>-548.392318326249</v>
      </c>
      <c r="L35" s="18">
        <f aca="true" t="shared" si="19" ref="L35:N37">I35-N$63</f>
        <v>426.54580609958845</v>
      </c>
      <c r="M35" s="18">
        <f t="shared" si="19"/>
        <v>400.5566666666666</v>
      </c>
      <c r="N35" s="18">
        <f t="shared" si="19"/>
        <v>-548.392318326249</v>
      </c>
      <c r="O35" s="21">
        <f>COS(52.5*PI()/180)*L35-SIN(52.5*PI()/180)*N35</f>
        <v>694.733511993046</v>
      </c>
      <c r="P35" s="22">
        <f t="shared" si="3"/>
        <v>400.5566666666666</v>
      </c>
      <c r="Q35" s="23">
        <f>SIN(52.5*PI()/180)*L35+COS(52.5*PI()/180)*N35</f>
        <v>4.561448694633441</v>
      </c>
      <c r="R35" s="1" t="s">
        <v>137</v>
      </c>
    </row>
    <row r="36" spans="1:17" ht="13.5">
      <c r="A36" s="1"/>
      <c r="B36" s="1" t="s">
        <v>138</v>
      </c>
      <c r="C36" s="16">
        <v>-0.035</v>
      </c>
      <c r="D36" s="1">
        <v>0.043666666666666666</v>
      </c>
      <c r="E36" s="17">
        <v>0.067</v>
      </c>
      <c r="F36" s="18">
        <f t="shared" si="18"/>
        <v>82.2265095857488</v>
      </c>
      <c r="G36" s="18">
        <f t="shared" si="18"/>
        <v>400.3476666666666</v>
      </c>
      <c r="H36" s="18">
        <f t="shared" si="18"/>
        <v>390.5987452406062</v>
      </c>
      <c r="I36" s="19">
        <f>COS($D$61)*F36+SIN($D$61)*H36</f>
        <v>169.1658365588935</v>
      </c>
      <c r="J36" s="7">
        <f t="shared" si="1"/>
        <v>400.3476666666666</v>
      </c>
      <c r="K36" s="20">
        <f>COS($D$61)*H36-SIN($D$61)*F36</f>
        <v>361.5404519601105</v>
      </c>
      <c r="L36" s="18">
        <f t="shared" si="19"/>
        <v>169.1658365588935</v>
      </c>
      <c r="M36" s="18">
        <f t="shared" si="19"/>
        <v>400.3476666666666</v>
      </c>
      <c r="N36" s="18">
        <f t="shared" si="19"/>
        <v>361.5404519601105</v>
      </c>
      <c r="O36" s="21">
        <f>COS(52.5*PI()/180)*L36-SIN(52.5*PI()/180)*N36</f>
        <v>-183.84768880990885</v>
      </c>
      <c r="P36" s="22">
        <f t="shared" si="3"/>
        <v>400.3476666666666</v>
      </c>
      <c r="Q36" s="23">
        <f>SIN(52.5*PI()/180)*L36+COS(52.5*PI()/180)*N36</f>
        <v>354.3001636768549</v>
      </c>
    </row>
    <row r="37" spans="1:17" ht="13.5">
      <c r="A37" s="1"/>
      <c r="B37" s="1" t="s">
        <v>139</v>
      </c>
      <c r="C37" s="16">
        <v>-454.5896666666667</v>
      </c>
      <c r="D37" s="1">
        <v>0.26433333333333336</v>
      </c>
      <c r="E37" s="17">
        <v>-548.248</v>
      </c>
      <c r="F37" s="18">
        <f t="shared" si="18"/>
        <v>-372.3281570809179</v>
      </c>
      <c r="G37" s="18">
        <f t="shared" si="18"/>
        <v>400.5683333333333</v>
      </c>
      <c r="H37" s="18">
        <f t="shared" si="18"/>
        <v>-157.71625475939385</v>
      </c>
      <c r="I37" s="19">
        <f>COS($D$61)*F37+SIN($D$61)*H37</f>
        <v>-398.4899818269517</v>
      </c>
      <c r="J37" s="7">
        <f t="shared" si="1"/>
        <v>400.5683333333333</v>
      </c>
      <c r="K37" s="20">
        <f>COS($D$61)*H37-SIN($D$61)*F37</f>
        <v>-68.61783991177809</v>
      </c>
      <c r="L37" s="18">
        <f t="shared" si="19"/>
        <v>-398.4899818269517</v>
      </c>
      <c r="M37" s="18">
        <f t="shared" si="19"/>
        <v>400.5683333333333</v>
      </c>
      <c r="N37" s="18">
        <f t="shared" si="19"/>
        <v>-68.61783991177809</v>
      </c>
      <c r="O37" s="21">
        <f>COS(52.5*PI()/180)*L37-SIN(52.5*PI()/180)*N37</f>
        <v>-188.14713828505586</v>
      </c>
      <c r="P37" s="22">
        <f t="shared" si="3"/>
        <v>400.5683333333333</v>
      </c>
      <c r="Q37" s="23">
        <f>SIN(52.5*PI()/180)*L37+COS(52.5*PI()/180)*N37</f>
        <v>-357.9152524351914</v>
      </c>
    </row>
    <row r="38" spans="1:17" ht="13.5">
      <c r="A38" s="1"/>
      <c r="C38" s="16"/>
      <c r="D38" s="1"/>
      <c r="E38" s="17"/>
      <c r="F38" s="18"/>
      <c r="G38" s="18"/>
      <c r="H38" s="18"/>
      <c r="I38" s="19"/>
      <c r="K38" s="20"/>
      <c r="L38" s="18"/>
      <c r="M38" s="18"/>
      <c r="N38" s="18"/>
      <c r="O38" s="21"/>
      <c r="P38" s="22"/>
      <c r="Q38" s="23"/>
    </row>
    <row r="39" spans="1:18" ht="13.5">
      <c r="A39" s="1" t="s">
        <v>140</v>
      </c>
      <c r="B39" s="1" t="s">
        <v>141</v>
      </c>
      <c r="C39" s="24">
        <v>-140.396</v>
      </c>
      <c r="D39" s="25">
        <v>3.279</v>
      </c>
      <c r="E39" s="26">
        <v>-2236.5986666666668</v>
      </c>
      <c r="F39" s="18">
        <f aca="true" t="shared" si="20" ref="F39:H41">C39+I$56</f>
        <v>-58.13449041425119</v>
      </c>
      <c r="G39" s="18">
        <f t="shared" si="20"/>
        <v>403.58299999999997</v>
      </c>
      <c r="H39" s="18">
        <f t="shared" si="20"/>
        <v>-1846.0669214260606</v>
      </c>
      <c r="I39" s="19">
        <f>COS($D$61)*F39+SIN($D$61)*H39</f>
        <v>-477.74621260953404</v>
      </c>
      <c r="J39" s="7">
        <f t="shared" si="1"/>
        <v>403.58299999999997</v>
      </c>
      <c r="K39" s="20">
        <f>COS($D$61)*H39-SIN($D$61)*F39</f>
        <v>-1784.1247864699553</v>
      </c>
      <c r="L39" s="18">
        <f aca="true" t="shared" si="21" ref="L39:N41">I39-N$64</f>
        <v>31.92465093011674</v>
      </c>
      <c r="M39" s="18">
        <f t="shared" si="21"/>
        <v>403.58299999999997</v>
      </c>
      <c r="N39" s="18">
        <f t="shared" si="21"/>
        <v>117.99277139752485</v>
      </c>
      <c r="O39" s="21">
        <f>COS($N$72+PI()/2)*L39-SIN($N$72+PI()/2)*N39</f>
        <v>-0.2980684065556751</v>
      </c>
      <c r="P39" s="22">
        <f t="shared" si="3"/>
        <v>403.58299999999997</v>
      </c>
      <c r="Q39" s="23">
        <f>SIN($N$72+PI()/2)*L39+COS($N$72+PI()/2)*N39</f>
        <v>-122.23497287725544</v>
      </c>
      <c r="R39" s="1" t="s">
        <v>142</v>
      </c>
    </row>
    <row r="40" spans="1:17" ht="13.5">
      <c r="A40" s="1"/>
      <c r="B40" s="1" t="s">
        <v>143</v>
      </c>
      <c r="C40" s="24">
        <v>-147.99</v>
      </c>
      <c r="D40" s="25">
        <v>3.3076666666666665</v>
      </c>
      <c r="E40" s="26">
        <v>-2477.9306666666666</v>
      </c>
      <c r="F40" s="18">
        <f t="shared" si="20"/>
        <v>-65.72849041425121</v>
      </c>
      <c r="G40" s="18">
        <f t="shared" si="20"/>
        <v>403.6116666666666</v>
      </c>
      <c r="H40" s="18">
        <f t="shared" si="20"/>
        <v>-2087.3989214260605</v>
      </c>
      <c r="I40" s="19">
        <f>COS($D$61)*F40+SIN($D$61)*H40</f>
        <v>-540.1952217149247</v>
      </c>
      <c r="J40" s="7">
        <f t="shared" si="1"/>
        <v>403.6116666666666</v>
      </c>
      <c r="K40" s="20">
        <f>COS($D$61)*H40-SIN($D$61)*F40</f>
        <v>-2017.360556286154</v>
      </c>
      <c r="L40" s="18">
        <f t="shared" si="21"/>
        <v>-30.52435817527396</v>
      </c>
      <c r="M40" s="18">
        <f t="shared" si="21"/>
        <v>403.6116666666666</v>
      </c>
      <c r="N40" s="18">
        <f t="shared" si="21"/>
        <v>-115.24299841867378</v>
      </c>
      <c r="O40" s="21">
        <f>COS($N$72+PI()/2)*L40-SIN($N$72+PI()/2)*N40</f>
        <v>-0.34281691307748474</v>
      </c>
      <c r="P40" s="22">
        <f t="shared" si="3"/>
        <v>403.6116666666666</v>
      </c>
      <c r="Q40" s="23">
        <f>SIN($N$72+PI()/2)*L40+COS($N$72+PI()/2)*N40</f>
        <v>119.216473706879</v>
      </c>
    </row>
    <row r="41" spans="1:17" ht="13.5">
      <c r="A41" s="1"/>
      <c r="B41" s="1" t="s">
        <v>144</v>
      </c>
      <c r="C41" s="24">
        <v>-511.38733333333334</v>
      </c>
      <c r="D41" s="25">
        <v>-343.2726666666667</v>
      </c>
      <c r="E41" s="26">
        <v>-2401.3920000000003</v>
      </c>
      <c r="F41" s="18">
        <f t="shared" si="20"/>
        <v>-429.12582374758455</v>
      </c>
      <c r="G41" s="18">
        <f t="shared" si="20"/>
        <v>57.03133333333329</v>
      </c>
      <c r="H41" s="18">
        <f t="shared" si="20"/>
        <v>-2010.8602547593941</v>
      </c>
      <c r="I41" s="19">
        <f>COS($D$61)*F41+SIN($D$61)*H41</f>
        <v>-876.5491215727005</v>
      </c>
      <c r="J41" s="7">
        <f t="shared" si="1"/>
        <v>57.03133333333329</v>
      </c>
      <c r="K41" s="20">
        <f>COS($D$61)*H41-SIN($D$61)*F41</f>
        <v>-1859.9380565621495</v>
      </c>
      <c r="L41" s="18">
        <f t="shared" si="21"/>
        <v>-366.87825803304975</v>
      </c>
      <c r="M41" s="18">
        <f t="shared" si="21"/>
        <v>57.03133333333329</v>
      </c>
      <c r="N41" s="18">
        <f t="shared" si="21"/>
        <v>42.17950130533063</v>
      </c>
      <c r="O41" s="21">
        <f>COS($N$72+PI()/2)*L41-SIN($N$72+PI()/2)*N41</f>
        <v>365.2940427888138</v>
      </c>
      <c r="P41" s="22">
        <f t="shared" si="3"/>
        <v>57.03133333333329</v>
      </c>
      <c r="Q41" s="23">
        <f>SIN($N$72+PI()/2)*L41+COS($N$72+PI()/2)*N41</f>
        <v>54.212810762177845</v>
      </c>
    </row>
    <row r="42" spans="1:17" ht="13.5">
      <c r="A42" s="1"/>
      <c r="C42" s="19"/>
      <c r="D42" s="7"/>
      <c r="E42" s="20"/>
      <c r="F42" s="18"/>
      <c r="G42" s="18"/>
      <c r="H42" s="18"/>
      <c r="I42" s="19"/>
      <c r="K42" s="20"/>
      <c r="L42" s="18"/>
      <c r="M42" s="18"/>
      <c r="N42" s="18"/>
      <c r="O42" s="21"/>
      <c r="P42" s="22"/>
      <c r="Q42" s="23"/>
    </row>
    <row r="43" spans="1:17" ht="13.5">
      <c r="A43" s="1" t="s">
        <v>145</v>
      </c>
      <c r="B43" s="1" t="s">
        <v>146</v>
      </c>
      <c r="C43" s="27">
        <v>1093.1016666666667</v>
      </c>
      <c r="D43" s="28">
        <v>-134.48</v>
      </c>
      <c r="E43" s="29">
        <v>-6095.810333333334</v>
      </c>
      <c r="F43" s="18">
        <f aca="true" t="shared" si="22" ref="F43:H45">C43+I$56</f>
        <v>1175.3631762524155</v>
      </c>
      <c r="G43" s="18">
        <f t="shared" si="22"/>
        <v>265.82399999999996</v>
      </c>
      <c r="H43" s="18">
        <f t="shared" si="22"/>
        <v>-5705.278588092728</v>
      </c>
      <c r="I43" s="19">
        <f>COS($D$61)*F43+SIN($D$61)*H43</f>
        <v>-157.18026194377876</v>
      </c>
      <c r="J43" s="7">
        <f t="shared" si="1"/>
        <v>265.82399999999996</v>
      </c>
      <c r="K43" s="20">
        <f>COS($D$61)*H43-SIN($D$61)*F43</f>
        <v>-5822.969751689837</v>
      </c>
      <c r="L43" s="18">
        <f aca="true" t="shared" si="23" ref="L43:N45">I43-N$65</f>
        <v>152.63029548251473</v>
      </c>
      <c r="M43" s="18">
        <f t="shared" si="23"/>
        <v>265.82399999999996</v>
      </c>
      <c r="N43" s="18">
        <f t="shared" si="23"/>
        <v>256.1683340026011</v>
      </c>
      <c r="O43" s="21">
        <f>COS($N$73+PI()/2)*L43-SIN($N$73+PI()/2)*N43</f>
        <v>-231.04029268435931</v>
      </c>
      <c r="P43" s="22">
        <f t="shared" si="3"/>
        <v>265.82399999999996</v>
      </c>
      <c r="Q43" s="23">
        <f>SIN($N$73+PI()/2)*L43+COS($N$73+PI()/2)*N43</f>
        <v>-188.51685760449527</v>
      </c>
    </row>
    <row r="44" spans="1:17" ht="13.5">
      <c r="A44" s="1"/>
      <c r="B44" s="1" t="s">
        <v>147</v>
      </c>
      <c r="C44" s="27">
        <v>705.6689999999999</v>
      </c>
      <c r="D44" s="28">
        <v>-134.47833333333332</v>
      </c>
      <c r="E44" s="29">
        <v>-6347.465333333334</v>
      </c>
      <c r="F44" s="18">
        <f t="shared" si="22"/>
        <v>787.9305095857487</v>
      </c>
      <c r="G44" s="18">
        <f t="shared" si="22"/>
        <v>265.8256666666666</v>
      </c>
      <c r="H44" s="18">
        <f t="shared" si="22"/>
        <v>-5956.933588092727</v>
      </c>
      <c r="I44" s="19">
        <f>COS($D$61)*F44+SIN($D$61)*H44</f>
        <v>-591.80677483163</v>
      </c>
      <c r="J44" s="7">
        <f t="shared" si="1"/>
        <v>265.8256666666666</v>
      </c>
      <c r="K44" s="20">
        <f>COS($D$61)*H44-SIN($D$61)*F44</f>
        <v>-5979.603415122673</v>
      </c>
      <c r="L44" s="18">
        <f t="shared" si="23"/>
        <v>-281.99621740533655</v>
      </c>
      <c r="M44" s="18">
        <f t="shared" si="23"/>
        <v>265.8256666666666</v>
      </c>
      <c r="N44" s="18">
        <f t="shared" si="23"/>
        <v>99.53467056976478</v>
      </c>
      <c r="O44" s="21">
        <f>COS($N$73+PI()/2)*L44-SIN($N$73+PI()/2)*N44</f>
        <v>230.9469022911893</v>
      </c>
      <c r="P44" s="22">
        <f t="shared" si="3"/>
        <v>265.8256666666666</v>
      </c>
      <c r="Q44" s="23">
        <f>SIN($N$73+PI()/2)*L44+COS($N$73+PI()/2)*N44</f>
        <v>-189.98038214103397</v>
      </c>
    </row>
    <row r="45" spans="1:17" ht="13.5">
      <c r="A45" s="1"/>
      <c r="B45" s="1" t="s">
        <v>148</v>
      </c>
      <c r="C45" s="27">
        <v>1098.7663333333333</v>
      </c>
      <c r="D45" s="28">
        <v>-115.306</v>
      </c>
      <c r="E45" s="29">
        <v>-6526.088333333333</v>
      </c>
      <c r="F45" s="18">
        <f t="shared" si="22"/>
        <v>1181.027842919082</v>
      </c>
      <c r="G45" s="18">
        <f t="shared" si="22"/>
        <v>284.998</v>
      </c>
      <c r="H45" s="18">
        <f t="shared" si="22"/>
        <v>-6135.556588092727</v>
      </c>
      <c r="I45" s="19">
        <f>COS($D$61)*F45+SIN($D$61)*H45</f>
        <v>-249.82462853841162</v>
      </c>
      <c r="J45" s="7">
        <f t="shared" si="1"/>
        <v>284.998</v>
      </c>
      <c r="K45" s="20">
        <f>COS($D$61)*H45-SIN($D$61)*F45</f>
        <v>-6243.19381938554</v>
      </c>
      <c r="L45" s="18">
        <f t="shared" si="23"/>
        <v>59.98592888788187</v>
      </c>
      <c r="M45" s="18">
        <f t="shared" si="23"/>
        <v>284.998</v>
      </c>
      <c r="N45" s="18">
        <f t="shared" si="23"/>
        <v>-164.0557336931024</v>
      </c>
      <c r="O45" s="21">
        <f>COS($N$73+PI()/2)*L45-SIN($N$73+PI()/2)*N45</f>
        <v>-0.25796917581818946</v>
      </c>
      <c r="P45" s="22">
        <f t="shared" si="3"/>
        <v>284.998</v>
      </c>
      <c r="Q45" s="23">
        <f>SIN($N$73+PI()/2)*L45+COS($N$73+PI()/2)*N45</f>
        <v>174.6783583447832</v>
      </c>
    </row>
    <row r="46" spans="1:17" ht="13.5">
      <c r="A46" s="1"/>
      <c r="C46" s="16"/>
      <c r="D46" s="1"/>
      <c r="E46" s="17"/>
      <c r="F46" s="18"/>
      <c r="G46" s="18"/>
      <c r="H46" s="18"/>
      <c r="I46" s="19"/>
      <c r="K46" s="20"/>
      <c r="L46" s="18"/>
      <c r="M46" s="18"/>
      <c r="N46" s="18"/>
      <c r="O46" s="21"/>
      <c r="P46" s="22"/>
      <c r="Q46" s="23"/>
    </row>
    <row r="47" spans="1:17" ht="13.5">
      <c r="A47" s="1" t="s">
        <v>149</v>
      </c>
      <c r="B47" s="1" t="s">
        <v>150</v>
      </c>
      <c r="C47" s="27">
        <v>1460.0780000000002</v>
      </c>
      <c r="D47" s="28">
        <v>-134.10033333333334</v>
      </c>
      <c r="E47" s="29">
        <v>-6658.464</v>
      </c>
      <c r="F47" s="18">
        <f aca="true" t="shared" si="24" ref="F47:H49">C47+I$56</f>
        <v>1542.339509585749</v>
      </c>
      <c r="G47" s="18">
        <f t="shared" si="24"/>
        <v>266.20366666666666</v>
      </c>
      <c r="H47" s="18">
        <f t="shared" si="24"/>
        <v>-6267.932254759394</v>
      </c>
      <c r="I47" s="19">
        <f>COS($D$61)*F47+SIN($D$61)*H47</f>
        <v>71.76046388722693</v>
      </c>
      <c r="J47" s="7">
        <f t="shared" si="1"/>
        <v>266.20366666666666</v>
      </c>
      <c r="K47" s="20">
        <f>COS($D$61)*H47-SIN($D$61)*F47</f>
        <v>-6454.505120371746</v>
      </c>
      <c r="L47" s="18">
        <f aca="true" t="shared" si="25" ref="L47:N49">I47-N$66</f>
        <v>153.785605858625</v>
      </c>
      <c r="M47" s="18">
        <f t="shared" si="25"/>
        <v>266.20366666666666</v>
      </c>
      <c r="N47" s="18">
        <f t="shared" si="25"/>
        <v>250.46825076410732</v>
      </c>
      <c r="O47" s="21">
        <f>COS($N$73+PI()/2)*L47-SIN($N$73+PI()/2)*N47</f>
        <v>-230.17638603330963</v>
      </c>
      <c r="P47" s="22">
        <f t="shared" si="3"/>
        <v>266.20366666666666</v>
      </c>
      <c r="Q47" s="23">
        <f>SIN($N$73+PI()/2)*L47+COS($N$73+PI()/2)*N47</f>
        <v>-182.76539202699436</v>
      </c>
    </row>
    <row r="48" spans="1:17" ht="13.5">
      <c r="A48" s="1"/>
      <c r="B48" s="1" t="s">
        <v>151</v>
      </c>
      <c r="C48" s="27">
        <v>1076.5226666666667</v>
      </c>
      <c r="D48" s="28">
        <v>-134.27533333333335</v>
      </c>
      <c r="E48" s="29">
        <v>-6907.641333333333</v>
      </c>
      <c r="F48" s="18">
        <f t="shared" si="24"/>
        <v>1158.7841762524156</v>
      </c>
      <c r="G48" s="18">
        <f t="shared" si="24"/>
        <v>266.0286666666666</v>
      </c>
      <c r="H48" s="18">
        <f t="shared" si="24"/>
        <v>-6517.109588092727</v>
      </c>
      <c r="I48" s="19">
        <f>COS($D$61)*F48+SIN($D$61)*H48</f>
        <v>-358.52572697482424</v>
      </c>
      <c r="J48" s="7">
        <f t="shared" si="1"/>
        <v>266.0286666666666</v>
      </c>
      <c r="K48" s="20">
        <f>COS($D$61)*H48-SIN($D$61)*F48</f>
        <v>-6609.61099108263</v>
      </c>
      <c r="L48" s="18">
        <f t="shared" si="25"/>
        <v>-276.5005850034262</v>
      </c>
      <c r="M48" s="18">
        <f t="shared" si="25"/>
        <v>266.0286666666666</v>
      </c>
      <c r="N48" s="18">
        <f t="shared" si="25"/>
        <v>95.3623800532232</v>
      </c>
      <c r="O48" s="21">
        <f>COS($N$73+PI()/2)*L48-SIN($N$73+PI()/2)*N48</f>
        <v>227.20970447702604</v>
      </c>
      <c r="P48" s="22">
        <f t="shared" si="3"/>
        <v>266.0286666666666</v>
      </c>
      <c r="Q48" s="23">
        <f>SIN($N$73+PI()/2)*L48+COS($N$73+PI()/2)*N48</f>
        <v>-184.18009454909827</v>
      </c>
    </row>
    <row r="49" spans="1:17" ht="13.5">
      <c r="A49" s="1"/>
      <c r="B49" s="1" t="s">
        <v>152</v>
      </c>
      <c r="C49" s="30">
        <v>1464.6756666666668</v>
      </c>
      <c r="D49" s="31">
        <v>-115.39233333333334</v>
      </c>
      <c r="E49" s="32">
        <v>-7086.092000000001</v>
      </c>
      <c r="F49" s="18">
        <f t="shared" si="24"/>
        <v>1546.9371762524156</v>
      </c>
      <c r="G49" s="18">
        <f t="shared" si="24"/>
        <v>284.91166666666663</v>
      </c>
      <c r="H49" s="18">
        <f t="shared" si="24"/>
        <v>-6695.560254759394</v>
      </c>
      <c r="I49" s="33">
        <f>COS($D$61)*F49+SIN($D$61)*H49</f>
        <v>-21.31821986148202</v>
      </c>
      <c r="J49" s="34">
        <f t="shared" si="1"/>
        <v>284.91166666666663</v>
      </c>
      <c r="K49" s="35">
        <f>COS($D$61)*H49-SIN($D$61)*F49</f>
        <v>-6871.90565170153</v>
      </c>
      <c r="L49" s="18">
        <f t="shared" si="25"/>
        <v>60.706922109916036</v>
      </c>
      <c r="M49" s="18">
        <f t="shared" si="25"/>
        <v>284.91166666666663</v>
      </c>
      <c r="N49" s="18">
        <f t="shared" si="25"/>
        <v>-166.9322805656766</v>
      </c>
      <c r="O49" s="36">
        <f>COS($N$73+PI()/2)*L49-SIN($N$73+PI()/2)*N49</f>
        <v>0.048355787440470976</v>
      </c>
      <c r="P49" s="37">
        <f t="shared" si="3"/>
        <v>284.91166666666663</v>
      </c>
      <c r="Q49" s="38">
        <f>SIN($N$73+PI()/2)*L49+COS($N$73+PI()/2)*N49</f>
        <v>177.6280224194229</v>
      </c>
    </row>
    <row r="50" ht="13.5">
      <c r="A50" s="1"/>
    </row>
    <row r="51" ht="13.5">
      <c r="A51" s="1"/>
    </row>
    <row r="52" spans="1:14" ht="13.5">
      <c r="A52" s="1"/>
      <c r="D52" s="1" t="s">
        <v>153</v>
      </c>
      <c r="I52" s="7" t="s">
        <v>154</v>
      </c>
      <c r="N52" s="7" t="s">
        <v>155</v>
      </c>
    </row>
    <row r="53" spans="1:14" ht="13.5">
      <c r="A53" s="1"/>
      <c r="N53" s="7" t="s">
        <v>156</v>
      </c>
    </row>
    <row r="54" spans="1:16" ht="13.5">
      <c r="A54" s="1"/>
      <c r="C54" s="1" t="s">
        <v>157</v>
      </c>
      <c r="D54" s="1" t="s">
        <v>158</v>
      </c>
      <c r="E54" s="1" t="s">
        <v>159</v>
      </c>
      <c r="F54" s="7" t="s">
        <v>160</v>
      </c>
      <c r="G54" s="7"/>
      <c r="H54" s="7" t="s">
        <v>161</v>
      </c>
      <c r="I54" s="7" t="s">
        <v>162</v>
      </c>
      <c r="J54" s="7" t="s">
        <v>163</v>
      </c>
      <c r="K54" s="7" t="s">
        <v>164</v>
      </c>
      <c r="L54" s="7"/>
      <c r="M54" s="7" t="s">
        <v>165</v>
      </c>
      <c r="N54" s="7" t="s">
        <v>166</v>
      </c>
      <c r="O54" s="1" t="s">
        <v>167</v>
      </c>
      <c r="P54" s="1" t="s">
        <v>168</v>
      </c>
    </row>
    <row r="55" spans="1:16" ht="13.5">
      <c r="A55" s="1"/>
      <c r="C55" s="1" t="s">
        <v>169</v>
      </c>
      <c r="D55" s="39">
        <v>218</v>
      </c>
      <c r="E55" s="1">
        <v>0</v>
      </c>
      <c r="F55" s="39">
        <v>207</v>
      </c>
      <c r="G55" s="7"/>
      <c r="H55" s="7" t="s">
        <v>170</v>
      </c>
      <c r="I55" s="39">
        <v>-9</v>
      </c>
      <c r="J55" s="7">
        <f>(29.52/2+1.5/2+1/4)*25.4</f>
        <v>400.304</v>
      </c>
      <c r="K55" s="39">
        <v>399</v>
      </c>
      <c r="L55" s="7"/>
      <c r="M55" s="7" t="s">
        <v>171</v>
      </c>
      <c r="N55" s="7">
        <f>'Global Frame'!B12</f>
        <v>9594.280146695077</v>
      </c>
      <c r="O55" s="7">
        <f>'Global Frame'!C12</f>
        <v>0</v>
      </c>
      <c r="P55" s="7">
        <f>'Global Frame'!D12</f>
        <v>-3345.637151208566</v>
      </c>
    </row>
    <row r="56" spans="1:16" ht="13.5">
      <c r="A56" s="1"/>
      <c r="C56" s="7" t="s">
        <v>172</v>
      </c>
      <c r="D56" s="7">
        <f>COS(70/180*PI())*D55+SIN(70/180*PI())*F55+'Global Frame'!B14</f>
        <v>9240.435623403715</v>
      </c>
      <c r="E56" s="7">
        <v>0</v>
      </c>
      <c r="F56" s="7">
        <f>COS(70/180*PI())*F55-SIN(70/180*PI())*D55+'Global Frame'!D14</f>
        <v>-1768.2298026341061</v>
      </c>
      <c r="G56" s="7"/>
      <c r="H56" s="7" t="s">
        <v>173</v>
      </c>
      <c r="I56" s="7">
        <f>COS(D61)*I55+SIN(D61)*K55</f>
        <v>82.2615095857488</v>
      </c>
      <c r="J56" s="7">
        <f>J55</f>
        <v>400.304</v>
      </c>
      <c r="K56" s="7">
        <f>COS(D61)*K55-SIN(D61)*I55</f>
        <v>390.5317452406062</v>
      </c>
      <c r="L56" s="7"/>
      <c r="M56" s="7" t="s">
        <v>174</v>
      </c>
      <c r="N56" s="7">
        <f>'Global Frame'!B13</f>
        <v>9406.16906786596</v>
      </c>
      <c r="O56" s="7">
        <f>'Global Frame'!C13</f>
        <v>0</v>
      </c>
      <c r="P56" s="7">
        <f>'Global Frame'!D13</f>
        <v>-2828.806209776317</v>
      </c>
    </row>
    <row r="57" spans="1:16" ht="13.5">
      <c r="A57" s="1"/>
      <c r="C57" s="7"/>
      <c r="D57" s="7"/>
      <c r="E57" s="7"/>
      <c r="M57" s="7" t="s">
        <v>175</v>
      </c>
      <c r="N57" s="7">
        <f>'Global Frame'!B14</f>
        <v>8971.358859656037</v>
      </c>
      <c r="O57" s="7">
        <f>'Global Frame'!C14</f>
        <v>0</v>
      </c>
      <c r="P57" s="7">
        <f>'Global Frame'!D14</f>
        <v>-1634.1749809711916</v>
      </c>
    </row>
    <row r="58" spans="1:16" ht="13.5">
      <c r="A58" s="1"/>
      <c r="M58" s="7" t="s">
        <v>176</v>
      </c>
      <c r="N58" s="7">
        <f>'Global Frame'!B15</f>
        <v>7091.684192757018</v>
      </c>
      <c r="O58" s="7">
        <f>'Global Frame'!C15</f>
        <v>0</v>
      </c>
      <c r="P58" s="7">
        <f>'Global Frame'!D15</f>
        <v>-950.0293521157099</v>
      </c>
    </row>
    <row r="59" spans="1:16" ht="13.5">
      <c r="A59" s="1"/>
      <c r="M59" s="7" t="s">
        <v>177</v>
      </c>
      <c r="N59" s="7">
        <f>'Global Frame'!B16</f>
        <v>6574.853251324768</v>
      </c>
      <c r="O59" s="7">
        <f>'Global Frame'!C16</f>
        <v>0</v>
      </c>
      <c r="P59" s="7">
        <f>'Global Frame'!D16</f>
        <v>-761.9182732865921</v>
      </c>
    </row>
    <row r="60" spans="1:16" ht="13.5">
      <c r="A60" s="1"/>
      <c r="M60" s="7" t="s">
        <v>178</v>
      </c>
      <c r="N60" s="7">
        <f>'Global Frame'!B17</f>
        <v>6058.022309892519</v>
      </c>
      <c r="O60" s="7">
        <f>'Global Frame'!C17</f>
        <v>0</v>
      </c>
      <c r="P60" s="7">
        <f>'Global Frame'!D17</f>
        <v>-573.8071944574745</v>
      </c>
    </row>
    <row r="61" spans="1:16" ht="13.5">
      <c r="A61" s="1"/>
      <c r="C61" s="1" t="s">
        <v>179</v>
      </c>
      <c r="D61" s="1">
        <f>-ATAN((F56-K55)/(D56-I55))</f>
        <v>0.23015741161148906</v>
      </c>
      <c r="E61" s="1">
        <f>D61*180/PI()</f>
        <v>13.187048308993612</v>
      </c>
      <c r="H61" s="7" t="s">
        <v>180</v>
      </c>
      <c r="I61" s="40">
        <f>PI()*J61/180</f>
        <v>0.6544984694978736</v>
      </c>
      <c r="J61" s="7">
        <v>37.5</v>
      </c>
      <c r="M61" s="7" t="s">
        <v>181</v>
      </c>
      <c r="N61" s="7">
        <f>'Global Frame'!B18</f>
        <v>2148.8</v>
      </c>
      <c r="O61" s="7">
        <f>'Global Frame'!C18</f>
        <v>0</v>
      </c>
      <c r="P61" s="7">
        <f>'Global Frame'!D18</f>
        <v>0</v>
      </c>
    </row>
    <row r="62" spans="1:16" ht="13.5">
      <c r="A62" s="1"/>
      <c r="H62" s="7" t="s">
        <v>182</v>
      </c>
      <c r="I62" s="41">
        <f>I36*COS(I61)+K36*SIN(I61)</f>
        <v>354.3001636768549</v>
      </c>
      <c r="J62" s="41">
        <f>-I36*SIN(I61)+K36*COS(I61)</f>
        <v>183.84768880990885</v>
      </c>
      <c r="M62" s="7" t="s">
        <v>183</v>
      </c>
      <c r="N62" s="7">
        <f>'Global Frame'!B19</f>
        <v>1598.8</v>
      </c>
      <c r="O62" s="7">
        <f>'Global Frame'!C19</f>
        <v>0</v>
      </c>
      <c r="P62" s="7">
        <f>'Global Frame'!D19</f>
        <v>0</v>
      </c>
    </row>
    <row r="63" spans="1:16" ht="13.5">
      <c r="A63" s="1"/>
      <c r="K63" s="42"/>
      <c r="M63" s="7" t="s">
        <v>184</v>
      </c>
      <c r="N63" s="7">
        <f>'Global Frame'!B20</f>
        <v>0</v>
      </c>
      <c r="O63" s="7">
        <f>'Global Frame'!C20</f>
        <v>0</v>
      </c>
      <c r="P63" s="7">
        <f>'Global Frame'!D20</f>
        <v>0</v>
      </c>
    </row>
    <row r="64" spans="1:16" ht="13.5">
      <c r="A64" s="1"/>
      <c r="M64" s="7" t="s">
        <v>185</v>
      </c>
      <c r="N64" s="7">
        <f>'Global Frame'!B21</f>
        <v>-509.6708635396508</v>
      </c>
      <c r="O64" s="7">
        <f>'Global Frame'!C21</f>
        <v>0</v>
      </c>
      <c r="P64" s="7">
        <f>'Global Frame'!D21</f>
        <v>-1902.1175578674802</v>
      </c>
    </row>
    <row r="65" spans="1:16" ht="13.5">
      <c r="A65" s="1"/>
      <c r="C65" s="1" t="s">
        <v>186</v>
      </c>
      <c r="M65" s="7" t="s">
        <v>187</v>
      </c>
      <c r="N65" s="7">
        <f>'Global Frame'!B22</f>
        <v>-309.8105574262935</v>
      </c>
      <c r="O65" s="7">
        <f>'Global Frame'!C22</f>
        <v>0</v>
      </c>
      <c r="P65" s="7">
        <f>'Global Frame'!D22</f>
        <v>-6079.138085692438</v>
      </c>
    </row>
    <row r="66" spans="1:16" ht="13.5">
      <c r="A66" s="1"/>
      <c r="C66" s="1" t="s">
        <v>188</v>
      </c>
      <c r="H66" s="7" t="s">
        <v>189</v>
      </c>
      <c r="M66" s="7" t="s">
        <v>190</v>
      </c>
      <c r="N66" s="7">
        <f>'Global Frame'!B23</f>
        <v>-82.02514197139806</v>
      </c>
      <c r="O66" s="7">
        <f>'Global Frame'!C23</f>
        <v>0</v>
      </c>
      <c r="P66" s="7">
        <f>'Global Frame'!D23</f>
        <v>-6704.973371135853</v>
      </c>
    </row>
    <row r="67" spans="1:3" ht="13.5">
      <c r="A67" s="1"/>
      <c r="C67" s="1" t="s">
        <v>191</v>
      </c>
    </row>
    <row r="68" spans="1:14" ht="13.5">
      <c r="A68" s="1"/>
      <c r="C68" s="7" t="s">
        <v>192</v>
      </c>
      <c r="D68" s="7"/>
      <c r="E68" s="7"/>
      <c r="N68" s="7" t="s">
        <v>193</v>
      </c>
    </row>
    <row r="69" spans="1:14" ht="13.5">
      <c r="A69" s="1"/>
      <c r="C69" s="7" t="s">
        <v>194</v>
      </c>
      <c r="D69" s="7"/>
      <c r="E69" s="7"/>
      <c r="L69" s="7" t="s">
        <v>195</v>
      </c>
      <c r="M69" s="7" t="s">
        <v>196</v>
      </c>
      <c r="N69" s="7">
        <f>'Global Frame'!H34</f>
        <v>1.2217304763960306</v>
      </c>
    </row>
    <row r="70" spans="1:14" ht="13.5">
      <c r="A70" s="1"/>
      <c r="C70" s="7" t="s">
        <v>197</v>
      </c>
      <c r="L70" s="7" t="s">
        <v>198</v>
      </c>
      <c r="M70" s="7" t="s">
        <v>199</v>
      </c>
      <c r="N70" s="18">
        <f>'Global Frame'!H35</f>
        <v>0.3490658503988659</v>
      </c>
    </row>
    <row r="71" spans="1:14" ht="13.5">
      <c r="A71" s="1"/>
      <c r="C71" s="7" t="s">
        <v>200</v>
      </c>
      <c r="L71" s="7" t="s">
        <v>201</v>
      </c>
      <c r="M71" s="7" t="s">
        <v>202</v>
      </c>
      <c r="N71" s="7">
        <f>'Global Frame'!H36</f>
        <v>0</v>
      </c>
    </row>
    <row r="72" spans="1:14" ht="13.5">
      <c r="A72" s="1"/>
      <c r="C72" t="s">
        <v>203</v>
      </c>
      <c r="L72" s="7" t="s">
        <v>204</v>
      </c>
      <c r="M72" s="7" t="s">
        <v>205</v>
      </c>
      <c r="N72" s="7">
        <f>'Global Frame'!H37</f>
        <v>1.8325957145940461</v>
      </c>
    </row>
    <row r="73" spans="1:14" ht="13.5">
      <c r="A73" s="1"/>
      <c r="L73" s="7" t="s">
        <v>206</v>
      </c>
      <c r="M73" s="7" t="s">
        <v>207</v>
      </c>
      <c r="N73" s="7">
        <f>'Global Frame'!H38</f>
        <v>1.2217304763960306</v>
      </c>
    </row>
  </sheetData>
  <mergeCells count="4">
    <mergeCell ref="E1:F1"/>
    <mergeCell ref="H1:I1"/>
    <mergeCell ref="K1:L1"/>
    <mergeCell ref="N1:O1"/>
  </mergeCells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2007-05-28T16:23:30Z</cp:lastPrinted>
  <dcterms:created xsi:type="dcterms:W3CDTF">2007-05-11T22:13:33Z</dcterms:created>
  <dcterms:modified xsi:type="dcterms:W3CDTF">2007-05-28T17:28:21Z</dcterms:modified>
  <cp:category/>
  <cp:version/>
  <cp:contentType/>
  <cp:contentStatus/>
  <cp:revision>1</cp:revision>
</cp:coreProperties>
</file>